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охицуулагч байгууллага\Монголын Хөрөнгийн Бирж\Явуулсан тайлан\"/>
    </mc:Choice>
  </mc:AlternateContent>
  <bookViews>
    <workbookView xWindow="-108" yWindow="-108" windowWidth="23256" windowHeight="12456" tabRatio="648" activeTab="1"/>
  </bookViews>
  <sheets>
    <sheet name="СБД" sheetId="1" r:id="rId1"/>
    <sheet name="ОДТ" sheetId="2" r:id="rId2"/>
    <sheet name="ӨӨТ" sheetId="3" r:id="rId3"/>
    <sheet name="МГТ" sheetId="4" r:id="rId4"/>
  </sheets>
  <externalReferences>
    <externalReference r:id="rId5"/>
    <externalReference r:id="rId6"/>
    <externalReference r:id="rId7"/>
  </externalReferences>
  <definedNames>
    <definedName name="_xlnm.Print_Area" localSheetId="3">МГТ!$B$1:$D$66</definedName>
    <definedName name="_xlnm.Print_Area" localSheetId="1">ОДТ!$A$1:$C$115</definedName>
    <definedName name="_xlnm.Print_Area" localSheetId="2">ӨӨТ!$A$1:$G$32</definedName>
    <definedName name="_xlnm.Print_Area" localSheetId="0">СБД!$A$1:$C$152</definedName>
  </definedNames>
  <calcPr calcId="152511"/>
</workbook>
</file>

<file path=xl/calcChain.xml><?xml version="1.0" encoding="utf-8"?>
<calcChain xmlns="http://schemas.openxmlformats.org/spreadsheetml/2006/main">
  <c r="D49" i="4" l="1"/>
  <c r="D25" i="4"/>
  <c r="D22" i="3"/>
  <c r="G22" i="3" s="1"/>
  <c r="C100" i="2"/>
  <c r="C93" i="2"/>
  <c r="C85" i="2"/>
  <c r="C47" i="2"/>
  <c r="C57" i="2"/>
  <c r="B93" i="2"/>
  <c r="B100" i="2"/>
  <c r="C42" i="2"/>
  <c r="C33" i="2"/>
  <c r="C30" i="2"/>
  <c r="C27" i="2"/>
  <c r="C26" i="2" s="1"/>
  <c r="C83" i="2" s="1"/>
  <c r="C19" i="2"/>
  <c r="F24" i="3"/>
  <c r="D24" i="3" s="1"/>
  <c r="G24" i="3" s="1"/>
  <c r="C110" i="2"/>
  <c r="C142" i="1"/>
  <c r="F29" i="3"/>
  <c r="C130" i="1"/>
  <c r="C11" i="1"/>
  <c r="D62" i="4" s="1"/>
  <c r="C86" i="1"/>
  <c r="D23" i="4"/>
  <c r="B27" i="3"/>
  <c r="G23" i="3"/>
  <c r="G26" i="3"/>
  <c r="D36" i="4"/>
  <c r="D38" i="4"/>
  <c r="D59" i="4"/>
  <c r="D57" i="4"/>
  <c r="D56" i="4" s="1"/>
  <c r="D37" i="4"/>
  <c r="D39" i="4"/>
  <c r="D45" i="4"/>
  <c r="D46" i="4"/>
  <c r="C27" i="3"/>
  <c r="C29" i="3"/>
  <c r="D16" i="4"/>
  <c r="D14" i="4"/>
  <c r="C116" i="1"/>
  <c r="C113" i="1" s="1"/>
  <c r="C112" i="1" s="1"/>
  <c r="C125" i="1" s="1"/>
  <c r="C114" i="1"/>
  <c r="C101" i="1"/>
  <c r="C100" i="1"/>
  <c r="C67" i="1"/>
  <c r="C66" i="1" s="1"/>
  <c r="C63" i="1" s="1"/>
  <c r="C23" i="1"/>
  <c r="C17" i="1"/>
  <c r="C15" i="1" s="1"/>
  <c r="B57" i="2"/>
  <c r="B142" i="1"/>
  <c r="B137" i="1" s="1"/>
  <c r="B124" i="1"/>
  <c r="B122" i="1"/>
  <c r="B117" i="1"/>
  <c r="B101" i="1"/>
  <c r="B100" i="1" s="1"/>
  <c r="B87" i="1"/>
  <c r="B86" i="1" s="1"/>
  <c r="B73" i="1"/>
  <c r="B64" i="1"/>
  <c r="B63" i="1" s="1"/>
  <c r="D29" i="3"/>
  <c r="G8" i="3"/>
  <c r="D10" i="3"/>
  <c r="D18" i="3"/>
  <c r="D20" i="3"/>
  <c r="E10" i="3"/>
  <c r="E18" i="3" s="1"/>
  <c r="E20" i="3" s="1"/>
  <c r="E28" i="3" s="1"/>
  <c r="F10" i="3"/>
  <c r="F18" i="3"/>
  <c r="F20" i="3"/>
  <c r="C10" i="3"/>
  <c r="C18" i="3" s="1"/>
  <c r="C20" i="3" s="1"/>
  <c r="C56" i="4"/>
  <c r="C51" i="4"/>
  <c r="C50" i="4" s="1"/>
  <c r="C26" i="4"/>
  <c r="C7" i="4"/>
  <c r="C6" i="4" s="1"/>
  <c r="C60" i="4" s="1"/>
  <c r="B85" i="2"/>
  <c r="B47" i="2"/>
  <c r="B42" i="2"/>
  <c r="B41" i="2" s="1"/>
  <c r="B33" i="2"/>
  <c r="B30" i="2"/>
  <c r="B27" i="2"/>
  <c r="B26" i="2" s="1"/>
  <c r="B19" i="2"/>
  <c r="B25" i="2"/>
  <c r="B136" i="1"/>
  <c r="B130" i="1"/>
  <c r="B113" i="1"/>
  <c r="B112" i="1" s="1"/>
  <c r="B106" i="1"/>
  <c r="B77" i="1"/>
  <c r="B74" i="1" s="1"/>
  <c r="B66" i="1"/>
  <c r="B57" i="1"/>
  <c r="B54" i="1" s="1"/>
  <c r="B50" i="1"/>
  <c r="B47" i="1"/>
  <c r="B41" i="1"/>
  <c r="B38" i="1" s="1"/>
  <c r="B34" i="1"/>
  <c r="B31" i="1"/>
  <c r="B25" i="1"/>
  <c r="B22" i="1" s="1"/>
  <c r="B21" i="1" s="1"/>
  <c r="B15" i="1"/>
  <c r="B11" i="1"/>
  <c r="D61" i="4" s="1"/>
  <c r="C25" i="1"/>
  <c r="C22" i="1" s="1"/>
  <c r="C21" i="1" s="1"/>
  <c r="D51" i="4"/>
  <c r="G15" i="3"/>
  <c r="C77" i="1"/>
  <c r="C74" i="1"/>
  <c r="C72" i="1"/>
  <c r="B10" i="3"/>
  <c r="G10" i="3"/>
  <c r="G9" i="3"/>
  <c r="G11" i="3"/>
  <c r="G12" i="3"/>
  <c r="G13" i="3"/>
  <c r="G14" i="3"/>
  <c r="G16" i="3"/>
  <c r="G19" i="3"/>
  <c r="G21" i="3"/>
  <c r="C136" i="1"/>
  <c r="C106" i="1"/>
  <c r="C94" i="1"/>
  <c r="C57" i="1"/>
  <c r="C54" i="1"/>
  <c r="C50" i="1"/>
  <c r="C47" i="1" s="1"/>
  <c r="C46" i="1" s="1"/>
  <c r="C41" i="1"/>
  <c r="C38" i="1"/>
  <c r="C34" i="1"/>
  <c r="C31" i="1"/>
  <c r="D4" i="3"/>
  <c r="A6" i="2"/>
  <c r="B4" i="4"/>
  <c r="C8" i="2"/>
  <c r="C25" i="2" s="1"/>
  <c r="C84" i="2" s="1"/>
  <c r="C92" i="2" s="1"/>
  <c r="B94" i="1"/>
  <c r="B8" i="2"/>
  <c r="C117" i="1"/>
  <c r="B18" i="3"/>
  <c r="B20" i="3" s="1"/>
  <c r="C41" i="2"/>
  <c r="C137" i="1"/>
  <c r="C147" i="1" s="1"/>
  <c r="C106" i="2" l="1"/>
  <c r="C109" i="2"/>
  <c r="C111" i="2" s="1"/>
  <c r="F25" i="3" s="1"/>
  <c r="G25" i="3" s="1"/>
  <c r="B83" i="2"/>
  <c r="B84" i="2" s="1"/>
  <c r="B92" i="2" s="1"/>
  <c r="D26" i="4"/>
  <c r="D7" i="4"/>
  <c r="D6" i="4" s="1"/>
  <c r="D50" i="4"/>
  <c r="B28" i="3"/>
  <c r="G20" i="3"/>
  <c r="D28" i="3"/>
  <c r="G18" i="3"/>
  <c r="C28" i="3"/>
  <c r="B72" i="1"/>
  <c r="B84" i="1" s="1"/>
  <c r="C84" i="1"/>
  <c r="C98" i="1" s="1"/>
  <c r="C149" i="1" s="1"/>
  <c r="C97" i="1"/>
  <c r="C30" i="1"/>
  <c r="G27" i="3"/>
  <c r="B125" i="1"/>
  <c r="B148" i="1" s="1"/>
  <c r="B97" i="1"/>
  <c r="B46" i="1"/>
  <c r="C131" i="1"/>
  <c r="C148" i="1"/>
  <c r="B147" i="1"/>
  <c r="B30" i="1"/>
  <c r="B106" i="2" l="1"/>
  <c r="B109" i="2"/>
  <c r="B111" i="2" s="1"/>
  <c r="F28" i="3"/>
  <c r="G28" i="3" s="1"/>
  <c r="D60" i="4"/>
  <c r="C30" i="3"/>
  <c r="B131" i="1"/>
  <c r="B98" i="1"/>
  <c r="B149" i="1" s="1"/>
</calcChain>
</file>

<file path=xl/sharedStrings.xml><?xml version="1.0" encoding="utf-8"?>
<sst xmlns="http://schemas.openxmlformats.org/spreadsheetml/2006/main" count="465" uniqueCount="346">
  <si>
    <t>Үзүүлэлт</t>
  </si>
  <si>
    <t>Эхний үлдэгдэл</t>
  </si>
  <si>
    <t>Эцсийн үлдэгдэл</t>
  </si>
  <si>
    <t/>
  </si>
  <si>
    <t>Ногдол ашиг</t>
  </si>
  <si>
    <t>ХӨРӨНГӨ</t>
  </si>
  <si>
    <t>ЭРГЭЛТИЙН ХӨРӨНГӨ</t>
  </si>
  <si>
    <t>ЭРГЭЛТИЙН БУС ХӨРӨНГӨ</t>
  </si>
  <si>
    <t>ӨР ТӨЛБӨР</t>
  </si>
  <si>
    <t>ЭЗЭМШИГЧДИЙН ӨМЧ</t>
  </si>
  <si>
    <t>МӨНГӨН ГҮЙЛГЭЭНИЙ ТАЙЛАН</t>
  </si>
  <si>
    <t>ӨМЧИЙН ӨӨРЧЛӨЛТИЙН ТАЙЛАН</t>
  </si>
  <si>
    <t>Хувьцаат капитал</t>
  </si>
  <si>
    <t>Нэмж төлөгдсөн капитал</t>
  </si>
  <si>
    <t>Дахин үнэлгээний нөөц</t>
  </si>
  <si>
    <t>Гадаад валютын хөрвүүлэлтийн нөөц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</si>
  <si>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</si>
  <si>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</si>
  <si>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</si>
  <si>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</si>
  <si>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</si>
  <si>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</si>
  <si>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</si>
  <si>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</si>
  <si>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</si>
  <si>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</si>
  <si>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(Аж ахуйн нэгж, байгууллагын нэр )</t>
  </si>
  <si>
    <t>ЕРӨНХИЙ НЯГТЛАН БОДОГЧ</t>
  </si>
  <si>
    <t>1 Мөнгөн хөрөнгө</t>
  </si>
  <si>
    <t>1.1 Бэлэн мөнгө</t>
  </si>
  <si>
    <t>1.2 Банк, санхүүгийн байгууллагад байршуулсан харилцах</t>
  </si>
  <si>
    <t>1.3 Банк, санхүүгийн байгууллагад байршуулсан хадгаламж</t>
  </si>
  <si>
    <t>2 Богино хугацаат хөрөнгө оруулалт /цэврээр/</t>
  </si>
  <si>
    <t>2.1 Үнэт цаас</t>
  </si>
  <si>
    <t>2.2 Арилжааны үнэт цаас</t>
  </si>
  <si>
    <t>2.3 Богино хугацаат хөрөнгө оруулалтын үнэт цаас</t>
  </si>
  <si>
    <t>2.4 (Хөрөнгө оруулалтын үнэт цаасны эрсдэлийн сан)</t>
  </si>
  <si>
    <t>3 Зээл /цэврээр/</t>
  </si>
  <si>
    <t>3.1 Нийт зээл</t>
  </si>
  <si>
    <t>3.1.1 Хэвийн зээл</t>
  </si>
  <si>
    <t>3.1.2 Хугацаа хэтэрсэн зээл</t>
  </si>
  <si>
    <t>3.1.3 Чанаргүй зээл</t>
  </si>
  <si>
    <t>3.1.3.1 Хэвийн бус зээл</t>
  </si>
  <si>
    <t>3.1.3.2 Эргэлзээтэй зээл</t>
  </si>
  <si>
    <t>3.1.3.3 Муу зээл</t>
  </si>
  <si>
    <t>3.1.4 (Зээлийн эрсдэлийн сан)</t>
  </si>
  <si>
    <t>4 Санхүүгийн түрээсийн тооцооны авлага /цэврээр/</t>
  </si>
  <si>
    <t>4.1 Нийт санхүүгийн түрээсийн тооцооны авлага/төгрөгийн/</t>
  </si>
  <si>
    <t>4.1.1 Хэвийн санхүүгийн түрээсийн тооцооны авлага</t>
  </si>
  <si>
    <t>4.1.2 Хугацаа хэтэрсэн санхүүгийн түрээсийн тооцооны авлага</t>
  </si>
  <si>
    <t>4.1.3 Чанаргүй санхүүгийн түрээсийн тооцооны авлага</t>
  </si>
  <si>
    <t>4.1.3.1 Хэвийн бус санхүүгийн түрээсийн тооцооны авлага</t>
  </si>
  <si>
    <t>4.1.3.2 Эргэлзээтэй санхүүгийн түрээсийн тооцооны авлага</t>
  </si>
  <si>
    <t>4.1.3.3Муу санхүүгийн түрээс тооцооны авлага</t>
  </si>
  <si>
    <t>4.2 Нийт санхүүгийн түрээсийн тооцооны авлага/валютаар/</t>
  </si>
  <si>
    <t>4.2.1 Хэвийн санхүүгийн түрээсийн тооцооны авлага</t>
  </si>
  <si>
    <t>4.2.2 Хугацаа хэтэрсэн санхүүгийн түрээсийн тооцооны авлага</t>
  </si>
  <si>
    <t>4.2.3 Чанаргүй санхүүгийн түрээсийн тооцооны авлага</t>
  </si>
  <si>
    <t>4.2.3.1 Хэвийн бус санхүүгийн түрээсийн тооцооны авлага</t>
  </si>
  <si>
    <t>4.2.3.2 Эргэлзээтэй санхүүгийн түрээсийн тооцооны авлага</t>
  </si>
  <si>
    <t xml:space="preserve">4.2.3.3 Муу санхүүгийн түрээс тооцооны авлага </t>
  </si>
  <si>
    <t>5 Факторингийн тооцооны авлага /цэврээр/</t>
  </si>
  <si>
    <t>5.1 Факторингийн тооцооны нийт авлага /төгрөгөөр/</t>
  </si>
  <si>
    <t>5.1.1 Хугацаандаа байгаа факторингийн тооцооны авлага</t>
  </si>
  <si>
    <t>5.1.2 Хугацаа хэтэрсэн факторингийн тооцооны авлага</t>
  </si>
  <si>
    <t>5.1.3 Чанаргүй факторингийн тооцооны авлага</t>
  </si>
  <si>
    <t>5.1.3.1 Хэвийн бус факторингийн тооцооны авлага</t>
  </si>
  <si>
    <t>5.1.3.2 Эргэлзээтэй факторингийн тооцооны авлага</t>
  </si>
  <si>
    <t>5.1.3.3 Муу факторингийн тооцооны авлага</t>
  </si>
  <si>
    <t>5.2 Факторингийн тооцооны нийт авлага /валютаар/</t>
  </si>
  <si>
    <t>5.2.1 Хугацаандаа байгаа факторингийн тооцооны авлага</t>
  </si>
  <si>
    <t>5.2.2 Хугацаа хэтэрсэн факторингийн тооцооны авлага</t>
  </si>
  <si>
    <t>5.2.3 Чанаргүй факторингийн тооцооны авлага</t>
  </si>
  <si>
    <t>5.2.3.1 Хэвийн бус факторингийн тооцооны авлага</t>
  </si>
  <si>
    <t>5.2.3.2 Эргэлзээтэй факторингийн тооцооны авлага</t>
  </si>
  <si>
    <t>5.2.3.3 Муу факторингийн тооцооны авлага</t>
  </si>
  <si>
    <t>5.3 (Факторингийн авлагын эрсдэлийн сан)</t>
  </si>
  <si>
    <t>6 Санхүүгийн деривативын авлага</t>
  </si>
  <si>
    <t>7 Бусад авлага</t>
  </si>
  <si>
    <t>7.1 Бусад  авлага</t>
  </si>
  <si>
    <t>7.2 (Найдваргүй авлагын нөөц)</t>
  </si>
  <si>
    <t>7.3 Хуримтлуулж тооцсон хүүгийн авлага</t>
  </si>
  <si>
    <t>7.3.1 Хуримтлуулж тооцсон зээлийн хүүгийн авлага</t>
  </si>
  <si>
    <t>7.3.2 Хуримтлуулж тооцсон санхүүгийн түрээсийн  хүүгийн авлага</t>
  </si>
  <si>
    <t>7.3.3 Хуримтлуулж тооцсон үнэт цаасны хүүгийн  авлага</t>
  </si>
  <si>
    <t>7.3.4 Хуримтлуулж тооцсон  факторингийн хүүгийн  авлага</t>
  </si>
  <si>
    <t>7.4  Салбар хоорондын тооцооны авлага</t>
  </si>
  <si>
    <t>8 Бусад  хөрөнгө</t>
  </si>
  <si>
    <t>8.1 Урьдчилж төлсөн зардал, тооцоо</t>
  </si>
  <si>
    <t>8.2 Өмчлөх бусад үл хөдлөх хөрөнгө</t>
  </si>
  <si>
    <t>8.2.1 Хэвийн өмчлөх бусад үл хөдлөх хөрөнгө</t>
  </si>
  <si>
    <t>8.2.2 Хугацаа хэтэрсэн өмчлөх бусад үл хөдлөх хөрөнгө</t>
  </si>
  <si>
    <t>8.2.3 Чанаргүй өмчлөх бусад үл хөдлөх хөрөнгө</t>
  </si>
  <si>
    <t>8.2.3.1 Хэвийн бус өмчлөх бусад үл хөдлөх хөрөнгө</t>
  </si>
  <si>
    <t>8.2.3.2 Эргэлзээтэй өмчлөх бусад үл хөдлөх хөрөнгө</t>
  </si>
  <si>
    <t>8.2.3.3 Муу өмчлөх бусад үл хөдлөх хөрөнгө</t>
  </si>
  <si>
    <t xml:space="preserve">8.3 (Өмчлөх бусад үл хөдлөх хөрөнгийн эрсдэлийн сан) </t>
  </si>
  <si>
    <t>8.4 Материал, үнэ бүхий зүйлс</t>
  </si>
  <si>
    <t>8.5 Бусад</t>
  </si>
  <si>
    <t>9 Эргэлтийн хөрөнгийн нийт дүн</t>
  </si>
  <si>
    <t>10 Үндсэн хөрөнгө</t>
  </si>
  <si>
    <t>10.1 Барилга байгууламж</t>
  </si>
  <si>
    <t>10.2 Хуримтлагдсан элэгдэл (барилга байгууламж)</t>
  </si>
  <si>
    <t>10.3 Эд хогшил</t>
  </si>
  <si>
    <t>10.4 Хуримтлагдсан элэгдэл (эд хогшил)</t>
  </si>
  <si>
    <t>10.5 Техник хэрэгсэл</t>
  </si>
  <si>
    <t>10.6 Хуримтлагдсан элэгдэл (техник хэрэгсэл)</t>
  </si>
  <si>
    <t>10.7 Дуусаагүй барилга</t>
  </si>
  <si>
    <t>11 Биет бус хөрөнгө</t>
  </si>
  <si>
    <t>11.1 Биет бус хөрөнгө</t>
  </si>
  <si>
    <t>11.2 Элэгдэл (биет бус хөрөнгө)</t>
  </si>
  <si>
    <t>12 Эргэлтийн бус хөрөнгийн дүн</t>
  </si>
  <si>
    <t>13 НИЙТ ХӨРӨНГИЙН ДҮН</t>
  </si>
  <si>
    <t>14.1 Банк, санхүүгийн байгууллагаас авсан богино хугацаат зээл</t>
  </si>
  <si>
    <t>14.2 Банк, санхүүгийн байгууллагаас авсан  богино хугацаат зээлийн хугацаа хэтрэлт</t>
  </si>
  <si>
    <t>14.3 Өрийн бичгээрх өглөг</t>
  </si>
  <si>
    <t>14.4 Санхүүгийн деривативын өглөг</t>
  </si>
  <si>
    <t>14.5 Төслийн зээлийн богино хугацаат санхүүжилт</t>
  </si>
  <si>
    <t>15 Бусад эх үүсвэр</t>
  </si>
  <si>
    <t>15.1 Итгэлцлийн үйлчилгээний өглөг</t>
  </si>
  <si>
    <t>15.2 Факторингийн үйлчилгээний өглөг</t>
  </si>
  <si>
    <t xml:space="preserve">15.3 Мөнгөн гуйвуулгын өглөг </t>
  </si>
  <si>
    <t>15.4 Зээлийн батлан даалтанд байршуулсан эх үүсвэр</t>
  </si>
  <si>
    <t>15.5 Төлбөрийн болон зээлийн картын үйлчилгээтэй холбоотой өглөг</t>
  </si>
  <si>
    <t>16 Бусад  өр төлбөр</t>
  </si>
  <si>
    <t>16.1 Хуримтлуулж тооцсон хүүгийн өглөг</t>
  </si>
  <si>
    <t>16.1.1 Хуримтлуулж тооцсон зээлийн  хүүгийн өглөг</t>
  </si>
  <si>
    <t>16.1.2 Хуримтлуулж тооцсон үнэт цаасны хүүгийн өглөг</t>
  </si>
  <si>
    <t>16.1.3 Хуримтлуулж тооцсон бусад хүүгийн өглөг</t>
  </si>
  <si>
    <t>16.2 Бусад өглөг</t>
  </si>
  <si>
    <t>16.2.1 Салбар хоорондын тооцооны өглөг</t>
  </si>
  <si>
    <t>16.2.2 Ногдол ашгийн өглөг</t>
  </si>
  <si>
    <t>16.2.3 Цалингийн өглөг</t>
  </si>
  <si>
    <t>16.2.4 ЭМД,НДШ-ийн өглөг</t>
  </si>
  <si>
    <t>16.2.5 ХАОАТ-ын өглөг</t>
  </si>
  <si>
    <t>16.2.6 Орлогын албан татварын өглөг</t>
  </si>
  <si>
    <t>16.2.7 Бусад</t>
  </si>
  <si>
    <t>17 Богино хугацаат өр төлбөрийн дүн</t>
  </si>
  <si>
    <t>18.1 Банк, санхүүгийн байгууллагаас авсан урт хугацаат зээл</t>
  </si>
  <si>
    <t>18.2 Банк, санхүүгийн байгууллагаас авсан урт хугацаат зээлийн  хугацаа хэтрэлт</t>
  </si>
  <si>
    <t>18.3 Төслийн зээлийн урт хугацаат санхүүжилт</t>
  </si>
  <si>
    <t>18 Урт  хугацаат өр төлбөрийн дүн</t>
  </si>
  <si>
    <t>19 Нийт өр төлбөрийн дүн</t>
  </si>
  <si>
    <t>20.1 Энгийн хувьцаа</t>
  </si>
  <si>
    <t>20.2 Давуу эрхтэй хувьцаа</t>
  </si>
  <si>
    <t>20.3 Халаасны хувьцаа</t>
  </si>
  <si>
    <t>20 Хувьцаат капиталын дүн</t>
  </si>
  <si>
    <t>21 Бусад өмч</t>
  </si>
  <si>
    <t xml:space="preserve">21.1 Нэмж төлөгдсөн капитал </t>
  </si>
  <si>
    <t>21.2 Хандивын капитал</t>
  </si>
  <si>
    <t>21.3 Дахин үнэлгээний нэмэгдэл</t>
  </si>
  <si>
    <t>21.4 Хоёрдогч өглөг /5 жилээс дээш хугацаатай/</t>
  </si>
  <si>
    <t>21.6 Нөөцийн сан</t>
  </si>
  <si>
    <t>21.7 Нийгмийн хөгжлийн сан</t>
  </si>
  <si>
    <t>22 Эзэмшигчдийн өмчийн дүн</t>
  </si>
  <si>
    <t>23 ӨР ТӨЛБӨР БА ЭЗЭМШИГЧДИЙН ӨМЧИЙН ДҮН</t>
  </si>
  <si>
    <t>БАЛАНС</t>
  </si>
  <si>
    <t>"АРДКРЕДИТ" БАНК БУС САНХҮҮГИЙН БАЙГУУЛЛАГА</t>
  </si>
  <si>
    <t>СТ-1</t>
  </si>
  <si>
    <t>1.1 Хугацаандаа байгаа зээлийн хүүгийн орлого</t>
  </si>
  <si>
    <t>1.2 Хугацаа хэтэрсэн зээлийн хүүгийн орлого</t>
  </si>
  <si>
    <t>1.3 Үнэт цаасны хүүгийн орлого</t>
  </si>
  <si>
    <t>1.4 Хугацаандаа байгаа санхүүгийн түрээсийн хүүгийн орлого</t>
  </si>
  <si>
    <t>1.5 Хугацаа хэтэрсэн санхүүгийн түрээсийн хүүгийн орлого</t>
  </si>
  <si>
    <t>1.6 Хугацаандаа байгаа Факторингийн үйлчилгээний хүүгийн орлого</t>
  </si>
  <si>
    <t xml:space="preserve">1.7 Хугацаа хэтэрсэн Факторингийн үйлчилгээний хүүгийн орлого </t>
  </si>
  <si>
    <t>1.8 Харилцах дансны хүүгийн орлого</t>
  </si>
  <si>
    <t>1.9 Банкин дахь хадгаламжийн хүүгийн орлого</t>
  </si>
  <si>
    <t>1.10 Хүүгийн орлогын буцаалт</t>
  </si>
  <si>
    <t>2.1 Банкны байгууллагаас авсан зээлийн хүүгийн зардал</t>
  </si>
  <si>
    <t>2.2 Бусад санхүүгийн байгууллагаас авсан зээлийн хүүгийн зардал</t>
  </si>
  <si>
    <t>2.3 Төслийн зээлийн санхүүжилтын хүүгийн зардал</t>
  </si>
  <si>
    <t>2.4 Өрийн бичгийн хүүгийн зардал</t>
  </si>
  <si>
    <t>2.5 Хүүгийн зардлын буцаалт</t>
  </si>
  <si>
    <t>1. Хүүгийн орлого</t>
  </si>
  <si>
    <t>2. Хүүгийн зардал</t>
  </si>
  <si>
    <t>3. Цэвэр хүүгийн орлого  (1-2)</t>
  </si>
  <si>
    <t>4. Хүүгийн бус орлого  (4.1+4.2+4.3)</t>
  </si>
  <si>
    <t>4.1. Арилжааны цэвэр орлого (4.1.1+4.1.2)</t>
  </si>
  <si>
    <t>4.1.1 Гадаад валютын арилжааны орлого</t>
  </si>
  <si>
    <t>4.1.2 Үнэт цаасны арилжааны орлого</t>
  </si>
  <si>
    <t>4.2. Ханш болон үнэлгээний тэгшитгэлийн орлого (4.2.1+4.2.2)</t>
  </si>
  <si>
    <t>4.2.1 Гадаад валютын ханшийн тэгшитгэлийн орлого</t>
  </si>
  <si>
    <t>4.3. Санхүүгийн үйлчилгээний шимтгэл (4.3.1+…+4.3.6)</t>
  </si>
  <si>
    <t>4.3.1 Санхүүгийн түрээсийн орлого</t>
  </si>
  <si>
    <t>4.3.2 Итгэлцлийн үйлчилгээний орлого</t>
  </si>
  <si>
    <t>4.3.3 Мөнгөн гуйвуулгын орлого</t>
  </si>
  <si>
    <t>4.3.4 Картын үйлчилгээний орлого</t>
  </si>
  <si>
    <t>4.3.5 Санхүүгийн зөвлөгөө, мэдээлэл өгөх үйлчилгээний орлого</t>
  </si>
  <si>
    <t>4.3.6 Үйлчилгээний хураамж, шимтгэлийн орлого</t>
  </si>
  <si>
    <t>4.3.7 Бусад үйлчилгээ</t>
  </si>
  <si>
    <t>5. Хүүгийн бус зардал (5.1+5.2+5.3)</t>
  </si>
  <si>
    <t>5.1. Арилжаа болон ханшийн тэгшитгэлийн зардал (5.1.1+…+5.1.4)</t>
  </si>
  <si>
    <t xml:space="preserve">5.1.1 Гадаад валютын арилжааны алдагдал </t>
  </si>
  <si>
    <t>5.1.2 Үнэт цаасны арилжааны алдагдал</t>
  </si>
  <si>
    <t>5.1.3 Гадаад валютын ханшийн тэгшитгэлийн зардал</t>
  </si>
  <si>
    <t>5.1.4 Үнэт цаасны үнэлгээний тэгшитгэлийн зардал</t>
  </si>
  <si>
    <t>5.2. Боловсон хүчний холбогдолтой зардал (5.2.1+..+5.2.10)</t>
  </si>
  <si>
    <t>5.2.1 Үндсэн болон нэмэгдэл цалин</t>
  </si>
  <si>
    <t>5.2.2 Ажилтнуудад олгосон нэмэгдэл цалин, урамшуулал</t>
  </si>
  <si>
    <t>5.2.3 Ажилтнуудад олгосон нөхөн олговор хөнгөлөлт</t>
  </si>
  <si>
    <t>5.2.4 Ажилтнуудад олгосон тэтгэмж, нийгмийн халамж</t>
  </si>
  <si>
    <t>5.2.5 Гэрээгээр ажиллагсдын ажлын хөлс</t>
  </si>
  <si>
    <t>5.2.6 Нийгмийн даатгал, эрүүл мэндийн даатгалын зардал</t>
  </si>
  <si>
    <t>5.2.7 Албан томилолт</t>
  </si>
  <si>
    <t>5.2.8 Сургалтын зардал</t>
  </si>
  <si>
    <t>5.2.9 Бусад</t>
  </si>
  <si>
    <t>5.3. Бусад зардал  (5.3.1+…5.3.26)</t>
  </si>
  <si>
    <t>5.3.1 Үнэт цаас болон түүнтэй холбоотой авлагыг барагдуулахтай холбоотой гарсан зардал</t>
  </si>
  <si>
    <t>5.3.2 Зээл болон  түүнтэй холбоотой авлагыг барагдуулахтай холбогдон гарсан зардал</t>
  </si>
  <si>
    <t>5.3.3 Санхүүгийн түрээсийн үйл ажиллагаатай холбогдон гарсан зардал</t>
  </si>
  <si>
    <t>5.3.4 Факторингийн үйл ажиллагаатай холбогдон гарсан зардал</t>
  </si>
  <si>
    <t>5.3.5 Итгэлцлийн үйлчилгээ болон түүнтэй холбогдон гарсан зардал</t>
  </si>
  <si>
    <t>5.3.6 Аудитын төлбөр, мэргэжлийн үйлчилгээ</t>
  </si>
  <si>
    <t>5.3.7 Даатгал</t>
  </si>
  <si>
    <t>5.3.8 Түрээс</t>
  </si>
  <si>
    <t>5.3.9 Ашиглалтын зардал /цахилгаан, уур ус, дулаан, цэвэр, бохир ус/</t>
  </si>
  <si>
    <t>5.3.10 Үндсэн хөрөнгийн элэгдлийн зардал</t>
  </si>
  <si>
    <t>5.3.11 Харуул, хамгаалалтын зардал</t>
  </si>
  <si>
    <t>5.3.12 Харилцаа холбоо, интернет</t>
  </si>
  <si>
    <t>5.3.13 Шатахуун болон тээврийн зардал</t>
  </si>
  <si>
    <t>5.3.14 Сэлбэг хэрэгсэл, засвар үйлчилгээ</t>
  </si>
  <si>
    <t>5.3.15 Зохицуулалтын хураамжийн  зардал</t>
  </si>
  <si>
    <t>5.3.16 Хөдөлмөр хамгаалал, галын аюулаас хамгаалах зардал</t>
  </si>
  <si>
    <t>5.3.17 Захиалгат хэвлэлийн зардал</t>
  </si>
  <si>
    <t>5.3.18 Автоматжуулалттай холбоотой урсгал зардал</t>
  </si>
  <si>
    <t>5.3.19 Ногдол ашиг</t>
  </si>
  <si>
    <t>5.3.20 Зар сурталчилгаа, маркетингийн судалгаа</t>
  </si>
  <si>
    <t>5.3.21 Бичиг хэргийн зардал</t>
  </si>
  <si>
    <t>5.3.22 Ариун цэврийн зардал</t>
  </si>
  <si>
    <t>5.3.23 Үл хөдлөх хөрөнгийн татвар</t>
  </si>
  <si>
    <t>5.3.24 Харилцагчдын сургалт судалгааны зардал</t>
  </si>
  <si>
    <t>5.3.25 Бусад</t>
  </si>
  <si>
    <t>6. ЦЭВЭР ХҮҮГИЙН БУС ОРЛОГО/ЗАРДЛЫН ДҮН  (4-5)</t>
  </si>
  <si>
    <t>7. Болзошгүй эрсдэлийн сан байгуулахаас өмнөх үйл ажиллагааны ашиг/алдагдал (3+6)</t>
  </si>
  <si>
    <t>8. Болзошгүй эрсдэлийн зардал</t>
  </si>
  <si>
    <t>8.1 Үнэт цаасны эрсдэлийн зардал</t>
  </si>
  <si>
    <t>8.2 Зээлийн эрсдэлийн зардал</t>
  </si>
  <si>
    <t>8.3 Санхүүгийн түрээсийн үйлчилгээний эрсдэлийн зардал</t>
  </si>
  <si>
    <t>8.4 Факторингийн үйлчилгээний эрсдэлийн зардал</t>
  </si>
  <si>
    <t>8.5 Найдваргүй авлагын нөөцийн  зардал</t>
  </si>
  <si>
    <t>8.6 Өмчлөх бусад үл хөдлөх хөрөнгийн эрсдэлийн зардал</t>
  </si>
  <si>
    <t>9. ҮНДСЭН ҮЙЛ АЖИЛЛАГААНЫ АШИГ/АЛДАГДАЛ (7-8)</t>
  </si>
  <si>
    <t>10. Үндсэн бус үйл ажиллагааны орлого</t>
  </si>
  <si>
    <t>10.1 Алданги</t>
  </si>
  <si>
    <t>10.2 Үндсэн хөрөнгө борлуулсны орлого</t>
  </si>
  <si>
    <t>10.3 Ногдол ашгийн орлого</t>
  </si>
  <si>
    <t>10.4 Хандив</t>
  </si>
  <si>
    <t>10.5 Тэнцлийн гадуурх тооцооноос хийгдсэн төлөгдөлт</t>
  </si>
  <si>
    <t>10.6 Бусад</t>
  </si>
  <si>
    <t>11. Үндсэн бус үйл ажиллагааны зардал</t>
  </si>
  <si>
    <t>11.1 Зочин төлөөлөгчийн зардал</t>
  </si>
  <si>
    <t>11.2 Торгуулийн зардал</t>
  </si>
  <si>
    <t>11.3 Хөрөнгө данснаас хассаны гарз</t>
  </si>
  <si>
    <t>11.4 Баяр ёслол</t>
  </si>
  <si>
    <t>11.5 Бусад</t>
  </si>
  <si>
    <t>12. Ердийн үйл ажиллагааны ашиг/алдагдал  / (9+10-11)</t>
  </si>
  <si>
    <t>13. Ердийн бус орлого</t>
  </si>
  <si>
    <t>14. Ердийн бус зардал</t>
  </si>
  <si>
    <t>15. Татвар төлөхийн өмнөх ашиг/алдагдал  (12+13-14)</t>
  </si>
  <si>
    <t>16. Орлогын татварын зардал</t>
  </si>
  <si>
    <t>17. ЦЭВЭР АШИГ (15-16)</t>
  </si>
  <si>
    <t>СТ-2</t>
  </si>
  <si>
    <t>ОРЛОГО ҮР ДҮНГИЙН ТАЙЛАН</t>
  </si>
  <si>
    <t>СТ-3</t>
  </si>
  <si>
    <t>1 Үйл ажиллагааны мөнгөн гүйлгээний дүн</t>
  </si>
  <si>
    <t>1.1 Үндсэн үйл ажиллагааны мөнгөн орлого</t>
  </si>
  <si>
    <t>1.1.1 Зээлийн хүүгийн орлого</t>
  </si>
  <si>
    <t>1.1.2 Үнэт цаасны хүүгийн орлого</t>
  </si>
  <si>
    <t>1.1.3 Факторингийн үйлчилгээний хүүгийн орлого</t>
  </si>
  <si>
    <t>1.1.4 Харилцах дансны хүүгийн орлого</t>
  </si>
  <si>
    <t>1.1.5 Банкин дахь хадгаламжийн хүүгийн орлого</t>
  </si>
  <si>
    <t>1.1.6 Санхүүгийн түрээсийн орлого</t>
  </si>
  <si>
    <t>1.1.7 Гадаад валютын арилжааны орлого</t>
  </si>
  <si>
    <t>1.1.9 Гадаад валютын ханшийн зөрүү</t>
  </si>
  <si>
    <t>1.1.10 Үнэт цаасны үнэлгээний зөрүү</t>
  </si>
  <si>
    <t>1.1.11 Итгэлцлийн үйлчилгээний орлого</t>
  </si>
  <si>
    <t>1.1.12 Мөнгөн гуйвуулгын орлого</t>
  </si>
  <si>
    <t>1.1.13 Картын үйлчилгээний орлого</t>
  </si>
  <si>
    <t>1.1.14 Санхүүгийн зөвлөгөө, мэдээлэл өгөх үйлчилгээний орлого</t>
  </si>
  <si>
    <t>1.1.15 Санхүүгийн түрээсийн орлого</t>
  </si>
  <si>
    <t>1.1.16 Үйлчилгээний хураамж, шимтгэлийн орлого</t>
  </si>
  <si>
    <t>1.1.17 Хүүгийн орлогын буцаалт</t>
  </si>
  <si>
    <t>1.1.18 Бусад үйлчилгээний орлого</t>
  </si>
  <si>
    <t>1.2 Үндсэн үйл ажиллагааны мөнгөн зарлага</t>
  </si>
  <si>
    <t>1.2.1 Банк, санхүүгийн байгууллагаас авсан зээлийн хүүгийн зардал</t>
  </si>
  <si>
    <t>1.2.2 Төслийн зээлийн санхүүжилтын хүүгийн зардал</t>
  </si>
  <si>
    <t>1.2.3 Өрийн бичгийн хүүд төлсөн мөнгө</t>
  </si>
  <si>
    <t>1.2.4 Хүүгийн зардлын буцаалт</t>
  </si>
  <si>
    <t>1.2.5 Үндсэн ба нэмэгдэл цалин</t>
  </si>
  <si>
    <t>1.2.6 Ажилтануудад олгосон нөхөн олговор, тэтгэмж</t>
  </si>
  <si>
    <t>1.2.7 Нийгмийн даатгал, эрүүл мэндийн даатгалын зардал</t>
  </si>
  <si>
    <t>1.2.8 Албан томилолт, сургалтын зардал</t>
  </si>
  <si>
    <t>1.2.9 Ашиглалтын зардалд төлсөн мөнгө</t>
  </si>
  <si>
    <t>1.2.10 Шатахуун, холбоо,  интернет, сэлбэг хэрэгсэлд төлсөн мөнгө</t>
  </si>
  <si>
    <t>1.2.11 Бичиг хэргийн зардал, ариун цэврийн зардал</t>
  </si>
  <si>
    <t>1.2.12 Татвар, даатгалын төлсөн мөнгө</t>
  </si>
  <si>
    <t>1.2.13 Зар сурталчилгаанд төлсөн мөнгө</t>
  </si>
  <si>
    <t>1.2.14 Үнэт цаас болон түүнтэй холбоотой авлагыг барагдуулахтай холбоотой гарсан мөнгө</t>
  </si>
  <si>
    <t>1.2.15 Зээл болон  түүнтэй холбоотой авлагыг барагдуулахтай холбогдон гарсан мөнгө</t>
  </si>
  <si>
    <t>1.2.16 Факторинг болон түүнтэй холбоотой авлагыг барагдуулахтай холбогдон гарсан мөнгө</t>
  </si>
  <si>
    <t>1.2.17 Итгэлцлийн үйлчилгээ болон түүнтэй холбогдон гарсан мөнгө</t>
  </si>
  <si>
    <t>1.2.18 Санхүүгийн түрээсийн үйл ажиллагаатай холбогдон гарах мөнгө</t>
  </si>
  <si>
    <t>1.2.19 Аудитын төлбөр,  мэргэжлийн  зөвлөгөө үйлчилгээний мөнгө</t>
  </si>
  <si>
    <t>1.2.20 Зохицуулалтын үйлчилгээний хураамжид төлсөн мөнгө</t>
  </si>
  <si>
    <t>1.2.21 Ногдол ашгаар олгосон мөнгө</t>
  </si>
  <si>
    <t>1.2.22 Бэлтгэн нийлүүлэгчид төлсөн бусад мөнгө</t>
  </si>
  <si>
    <t>1.2.23 Бусад үйлчилгээнд төлсөн мөнгө</t>
  </si>
  <si>
    <t>2 Үндсэн бус үйл ажиллагааны мөнгөн гүйлгээ</t>
  </si>
  <si>
    <t>2.1 Үндсэн бус үйл ажиллагааны мөнгөн орлого</t>
  </si>
  <si>
    <t>2.1.1 Үндсэн  ба хөрөнгө борлуулсны орлого</t>
  </si>
  <si>
    <t>2.1.2 Ногдол ашгийн орлого</t>
  </si>
  <si>
    <t>2.1.3 Хандив</t>
  </si>
  <si>
    <t>2.1.4 Бусад</t>
  </si>
  <si>
    <t>2.2 Үндсэн бус үйл ажиллагааны мөнгөн зарлага</t>
  </si>
  <si>
    <t>2.2.1 Баяр ёслол, зочин төлөөлөгчийн зардал</t>
  </si>
  <si>
    <t>2.2.2 Торгуулийн зардал</t>
  </si>
  <si>
    <t>2.2.3 Бусад</t>
  </si>
  <si>
    <t>3 Бүх цэвэр мөнгөн гүйлгээ</t>
  </si>
  <si>
    <t>4.1 МӨНГӨН ХӨРӨНГИЙН ЭХНИЙ ҮЛДЭГДЭЛ</t>
  </si>
  <si>
    <t>4.2 МӨНГӨН ХӨРӨНГИЙН ЭЦСИЙН ҮЛДЭГДЭЛ</t>
  </si>
  <si>
    <t>Санхүүгийн зохицуулах хорооны</t>
  </si>
  <si>
    <t>2008 оны 03-р тогтоолын хавсралт 1</t>
  </si>
  <si>
    <t>ГҮЙЦЭТГЭХ ЗАХИРАЛ</t>
  </si>
  <si>
    <t>12-р сарын 31</t>
  </si>
  <si>
    <t>1.1.8 Үнэт цаасны арилжааны орлого</t>
  </si>
  <si>
    <t>БАЛАНСЫН ЗҮЙЛ</t>
  </si>
  <si>
    <t>14 БОГИНО ХУГАЦААТ ӨР ТӨЛБӨР</t>
  </si>
  <si>
    <t>18 УРТ ХУГАЦААТ ӨР ТӨЛБӨР</t>
  </si>
  <si>
    <t>/Төгрөгөөр/</t>
  </si>
  <si>
    <t>4.3 (Санхүүгийн түрээсийн эрсдэлийн сан)</t>
  </si>
  <si>
    <t xml:space="preserve">    21.5 Хуримтлагдсан ашиг /алдагдал/</t>
  </si>
  <si>
    <t xml:space="preserve">      21.5.1 Тайлант үеийн ашиг /алдагдал/</t>
  </si>
  <si>
    <t xml:space="preserve">      21.5.2 Өмнөх үеийн ашиг /алдагдал/</t>
  </si>
  <si>
    <t>4.2.2 Үнэт цаасны ханшийн тэгшитгэлийн орлого</t>
  </si>
  <si>
    <t>1-р сарын 1</t>
  </si>
  <si>
    <t>(Г.ТЭЛМЭН)</t>
  </si>
  <si>
    <t>Өмнөх оны дүн</t>
  </si>
  <si>
    <t>Тайлант оны дүн</t>
  </si>
  <si>
    <t>2020 оны 12-р сарын 31-ны үлдэгдэл</t>
  </si>
  <si>
    <t>(Х.ЦЭРЭННАДМИД)</t>
  </si>
  <si>
    <t>2021 оны 12-р сарын 31-ны үлдэгдэл</t>
  </si>
  <si>
    <t>2.5  Өрийн бичиг</t>
  </si>
  <si>
    <t>"АРДКРЕДИТ ББСБ" ХК</t>
  </si>
  <si>
    <t>2022 оны 12 сарын 31 өдөр</t>
  </si>
  <si>
    <t>2022 оны 12-р сарын 31-ны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</si>
</sst>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Erika Mon"/>
      <family val="1"/>
      <charset val="204"/>
    </font>
    <font>
      <sz val="10"/>
      <name val="Arial"/>
      <family val="2"/>
    </font>
    <font>
      <sz val="10"/>
      <name val="Times New Roman Mon"/>
      <family val="1"/>
    </font>
    <font>
      <i/>
      <u/>
      <sz val="10"/>
      <name val="Times New Roman"/>
      <family val="1"/>
    </font>
    <font>
      <sz val="10"/>
      <name val="Arial"/>
      <family val="2"/>
    </font>
    <font>
      <b/>
      <u val="singleAccounting"/>
      <sz val="10"/>
      <name val="Times New Roman"/>
      <family val="1"/>
    </font>
    <font>
      <b/>
      <i/>
      <u/>
      <sz val="11"/>
      <name val="Times New Roman"/>
      <family val="1"/>
    </font>
    <font>
      <i/>
      <u/>
      <sz val="11"/>
      <name val="Times New Roman"/>
      <family val="1"/>
    </font>
    <font>
      <sz val="8"/>
      <color indexed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7" fillId="0" borderId="0"/>
    <xf numFmtId="0" fontId="17" fillId="0" borderId="0"/>
    <xf numFmtId="0" fontId="7" fillId="0" borderId="0"/>
  </cellStyleXfs>
  <cellXfs count="122">
    <xf numFmtId="0" fontId="0" fillId="0" borderId="0" xfId="0"/>
    <xf numFmtId="0" fontId="3" fillId="2" borderId="0" xfId="0" applyFont="1" applyFill="1"/>
    <xf numFmtId="43" fontId="3" fillId="0" borderId="3" xfId="1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43" fontId="2" fillId="3" borderId="3" xfId="1" applyNumberFormat="1" applyFont="1" applyFill="1" applyBorder="1" applyAlignment="1">
      <alignment horizontal="right" vertical="center" wrapText="1"/>
    </xf>
    <xf numFmtId="43" fontId="2" fillId="3" borderId="3" xfId="4" applyFont="1" applyFill="1" applyBorder="1" applyAlignment="1">
      <alignment horizontal="right" vertical="center" wrapText="1"/>
    </xf>
    <xf numFmtId="43" fontId="2" fillId="3" borderId="3" xfId="4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43" fontId="2" fillId="2" borderId="3" xfId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 indent="1"/>
    </xf>
    <xf numFmtId="43" fontId="3" fillId="2" borderId="3" xfId="1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2"/>
    </xf>
    <xf numFmtId="164" fontId="3" fillId="2" borderId="5" xfId="0" applyNumberFormat="1" applyFont="1" applyFill="1" applyBorder="1" applyAlignment="1">
      <alignment horizontal="left" vertical="center" wrapText="1" indent="2"/>
    </xf>
    <xf numFmtId="43" fontId="3" fillId="2" borderId="4" xfId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43" fontId="3" fillId="2" borderId="0" xfId="0" applyNumberFormat="1" applyFont="1" applyFill="1" applyAlignment="1">
      <alignment horizontal="center"/>
    </xf>
    <xf numFmtId="43" fontId="2" fillId="3" borderId="3" xfId="1" applyNumberFormat="1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43" fontId="16" fillId="2" borderId="3" xfId="1" applyNumberFormat="1" applyFont="1" applyFill="1" applyBorder="1" applyAlignment="1">
      <alignment horizontal="center" vertical="center" wrapText="1"/>
    </xf>
    <xf numFmtId="43" fontId="2" fillId="3" borderId="3" xfId="4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43" fontId="2" fillId="2" borderId="3" xfId="4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3" fontId="3" fillId="2" borderId="3" xfId="4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3" fontId="2" fillId="2" borderId="0" xfId="4" applyFont="1" applyFill="1" applyAlignment="1">
      <alignment horizontal="right"/>
    </xf>
    <xf numFmtId="43" fontId="2" fillId="2" borderId="0" xfId="4" applyFont="1" applyFill="1" applyAlignment="1">
      <alignment horizontal="left"/>
    </xf>
    <xf numFmtId="43" fontId="3" fillId="2" borderId="0" xfId="4" applyFont="1" applyFill="1"/>
    <xf numFmtId="0" fontId="15" fillId="2" borderId="0" xfId="0" applyFont="1" applyFill="1"/>
    <xf numFmtId="43" fontId="3" fillId="2" borderId="3" xfId="4" applyFont="1" applyFill="1" applyBorder="1" applyAlignment="1">
      <alignment horizontal="left" vertical="center" wrapText="1" indent="1"/>
    </xf>
    <xf numFmtId="43" fontId="2" fillId="2" borderId="3" xfId="1" applyNumberFormat="1" applyFont="1" applyFill="1" applyBorder="1" applyAlignment="1">
      <alignment horizontal="right" vertical="center" wrapText="1"/>
    </xf>
    <xf numFmtId="43" fontId="3" fillId="2" borderId="4" xfId="4" applyFont="1" applyFill="1" applyBorder="1" applyAlignment="1">
      <alignment horizontal="left" vertical="center" wrapText="1" indent="1"/>
    </xf>
    <xf numFmtId="164" fontId="3" fillId="2" borderId="5" xfId="0" applyNumberFormat="1" applyFont="1" applyFill="1" applyBorder="1" applyAlignment="1">
      <alignment horizontal="left" vertical="center" wrapText="1" indent="1"/>
    </xf>
    <xf numFmtId="43" fontId="3" fillId="2" borderId="6" xfId="4" applyFont="1" applyFill="1" applyBorder="1" applyAlignment="1">
      <alignment horizontal="left" vertical="center" wrapText="1" indent="1"/>
    </xf>
    <xf numFmtId="43" fontId="3" fillId="2" borderId="3" xfId="1" applyNumberFormat="1" applyFont="1" applyFill="1" applyBorder="1" applyAlignment="1">
      <alignment horizontal="right" vertical="center" wrapText="1"/>
    </xf>
    <xf numFmtId="43" fontId="2" fillId="2" borderId="3" xfId="4" applyFont="1" applyFill="1" applyBorder="1" applyAlignment="1">
      <alignment horizontal="left" vertical="center" wrapText="1"/>
    </xf>
    <xf numFmtId="164" fontId="14" fillId="4" borderId="3" xfId="0" applyNumberFormat="1" applyFont="1" applyFill="1" applyBorder="1" applyAlignment="1">
      <alignment horizontal="left" vertical="center" wrapText="1"/>
    </xf>
    <xf numFmtId="43" fontId="14" fillId="4" borderId="3" xfId="1" applyNumberFormat="1" applyFont="1" applyFill="1" applyBorder="1" applyAlignment="1">
      <alignment horizontal="right" vertical="center" wrapText="1"/>
    </xf>
    <xf numFmtId="43" fontId="14" fillId="4" borderId="3" xfId="4" applyFont="1" applyFill="1" applyBorder="1" applyAlignment="1">
      <alignment horizontal="right" vertical="center" wrapText="1"/>
    </xf>
    <xf numFmtId="43" fontId="3" fillId="2" borderId="0" xfId="0" applyNumberFormat="1" applyFont="1" applyFill="1"/>
    <xf numFmtId="44" fontId="3" fillId="2" borderId="0" xfId="1" applyFont="1" applyFill="1"/>
    <xf numFmtId="164" fontId="3" fillId="2" borderId="7" xfId="0" applyNumberFormat="1" applyFont="1" applyFill="1" applyBorder="1" applyAlignment="1">
      <alignment horizontal="left" vertical="center" wrapText="1" indent="2"/>
    </xf>
    <xf numFmtId="164" fontId="3" fillId="2" borderId="6" xfId="0" applyNumberFormat="1" applyFont="1" applyFill="1" applyBorder="1" applyAlignment="1">
      <alignment horizontal="left" vertical="center" wrapText="1" indent="1"/>
    </xf>
    <xf numFmtId="164" fontId="2" fillId="3" borderId="4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43" fontId="3" fillId="2" borderId="0" xfId="1" applyNumberFormat="1" applyFont="1" applyFill="1"/>
    <xf numFmtId="43" fontId="3" fillId="0" borderId="4" xfId="1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43" fontId="2" fillId="2" borderId="4" xfId="1" applyNumberFormat="1" applyFont="1" applyFill="1" applyBorder="1" applyAlignment="1">
      <alignment horizontal="center" vertical="center" wrapText="1"/>
    </xf>
    <xf numFmtId="43" fontId="3" fillId="2" borderId="5" xfId="4" applyFont="1" applyFill="1" applyBorder="1" applyAlignment="1">
      <alignment horizontal="left" vertical="center" wrapText="1" indent="1"/>
    </xf>
    <xf numFmtId="43" fontId="2" fillId="0" borderId="3" xfId="1" applyNumberFormat="1" applyFont="1" applyFill="1" applyBorder="1" applyAlignment="1">
      <alignment horizontal="center" vertical="center" wrapText="1"/>
    </xf>
    <xf numFmtId="43" fontId="3" fillId="0" borderId="3" xfId="4" applyFont="1" applyFill="1" applyBorder="1" applyAlignment="1">
      <alignment horizontal="left" vertical="center" wrapText="1" indent="1"/>
    </xf>
    <xf numFmtId="43" fontId="3" fillId="0" borderId="4" xfId="4" applyFont="1" applyFill="1" applyBorder="1" applyAlignment="1">
      <alignment horizontal="left" vertical="center" wrapText="1" indent="1"/>
    </xf>
    <xf numFmtId="43" fontId="3" fillId="0" borderId="6" xfId="4" applyFont="1" applyFill="1" applyBorder="1" applyAlignment="1">
      <alignment horizontal="left" vertical="center" wrapText="1" indent="1"/>
    </xf>
    <xf numFmtId="43" fontId="3" fillId="0" borderId="8" xfId="4" applyFont="1" applyFill="1" applyBorder="1" applyAlignment="1">
      <alignment horizontal="left" vertical="center" wrapText="1" indent="1"/>
    </xf>
    <xf numFmtId="43" fontId="3" fillId="0" borderId="4" xfId="4" applyFont="1" applyFill="1" applyBorder="1"/>
    <xf numFmtId="164" fontId="2" fillId="2" borderId="5" xfId="0" applyNumberFormat="1" applyFont="1" applyFill="1" applyBorder="1" applyAlignment="1">
      <alignment horizontal="left" vertical="center" wrapText="1" indent="1"/>
    </xf>
    <xf numFmtId="164" fontId="16" fillId="2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 indent="1"/>
    </xf>
    <xf numFmtId="164" fontId="3" fillId="2" borderId="9" xfId="0" applyNumberFormat="1" applyFont="1" applyFill="1" applyBorder="1" applyAlignment="1">
      <alignment horizontal="left" vertical="center" wrapText="1" inden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left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43" fontId="3" fillId="0" borderId="8" xfId="1" applyNumberFormat="1" applyFont="1" applyFill="1" applyBorder="1" applyAlignment="1">
      <alignment horizontal="center" vertical="center" wrapText="1"/>
    </xf>
    <xf numFmtId="43" fontId="16" fillId="2" borderId="4" xfId="1" applyNumberFormat="1" applyFont="1" applyFill="1" applyBorder="1" applyAlignment="1">
      <alignment horizontal="center" vertical="center" wrapText="1"/>
    </xf>
    <xf numFmtId="43" fontId="2" fillId="3" borderId="4" xfId="1" applyNumberFormat="1" applyFont="1" applyFill="1" applyBorder="1" applyAlignment="1">
      <alignment horizontal="center" vertical="center" wrapText="1"/>
    </xf>
    <xf numFmtId="43" fontId="16" fillId="3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43" fontId="3" fillId="2" borderId="6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5" borderId="4" xfId="1" applyNumberFormat="1" applyFont="1" applyFill="1" applyBorder="1" applyAlignment="1">
      <alignment horizontal="center" vertical="center" wrapText="1"/>
    </xf>
    <xf numFmtId="43" fontId="3" fillId="3" borderId="3" xfId="1" applyNumberFormat="1" applyFont="1" applyFill="1" applyBorder="1" applyAlignment="1">
      <alignment horizontal="center" vertical="center" wrapText="1"/>
    </xf>
    <xf numFmtId="43" fontId="18" fillId="2" borderId="0" xfId="0" applyNumberFormat="1" applyFont="1" applyFill="1" applyAlignment="1">
      <alignment horizontal="center"/>
    </xf>
    <xf numFmtId="43" fontId="18" fillId="2" borderId="0" xfId="0" applyNumberFormat="1" applyFont="1" applyFill="1"/>
    <xf numFmtId="0" fontId="3" fillId="2" borderId="0" xfId="0" applyFont="1" applyFill="1" applyAlignment="1">
      <alignment horizontal="right" vertical="top" wrapText="1"/>
    </xf>
    <xf numFmtId="43" fontId="3" fillId="2" borderId="0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/>
    </xf>
    <xf numFmtId="43" fontId="3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3" fontId="19" fillId="2" borderId="4" xfId="1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left" vertical="center" wrapText="1" indent="1"/>
    </xf>
    <xf numFmtId="43" fontId="19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/>
    <xf numFmtId="4" fontId="3" fillId="2" borderId="4" xfId="0" applyNumberFormat="1" applyFont="1" applyFill="1" applyBorder="1"/>
    <xf numFmtId="4" fontId="3" fillId="2" borderId="4" xfId="8" applyNumberFormat="1" applyFont="1" applyFill="1" applyBorder="1" applyProtection="1">
      <protection locked="0"/>
    </xf>
    <xf numFmtId="164" fontId="2" fillId="2" borderId="4" xfId="0" applyNumberFormat="1" applyFont="1" applyFill="1" applyBorder="1" applyAlignment="1">
      <alignment horizontal="left" vertical="center" wrapText="1" indent="1"/>
    </xf>
    <xf numFmtId="43" fontId="2" fillId="2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left" vertical="center" wrapText="1" indent="3"/>
    </xf>
    <xf numFmtId="39" fontId="2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 indent="2"/>
    </xf>
    <xf numFmtId="43" fontId="10" fillId="2" borderId="4" xfId="0" applyNumberFormat="1" applyFont="1" applyFill="1" applyBorder="1" applyAlignment="1">
      <alignment horizontal="center" vertical="center" wrapText="1"/>
    </xf>
    <xf numFmtId="43" fontId="10" fillId="2" borderId="4" xfId="1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43" fontId="11" fillId="2" borderId="4" xfId="0" applyNumberFormat="1" applyFont="1" applyFill="1" applyBorder="1" applyAlignment="1">
      <alignment horizontal="center" vertical="center" wrapText="1"/>
    </xf>
    <xf numFmtId="43" fontId="20" fillId="2" borderId="4" xfId="0" applyNumberFormat="1" applyFont="1" applyFill="1" applyBorder="1" applyAlignment="1">
      <alignment horizontal="center" vertical="center" wrapText="1"/>
    </xf>
    <xf numFmtId="43" fontId="21" fillId="2" borderId="4" xfId="0" applyNumberFormat="1" applyFont="1" applyFill="1" applyBorder="1" applyAlignment="1">
      <alignment horizontal="center" vertical="center" wrapText="1"/>
    </xf>
    <xf numFmtId="43" fontId="2" fillId="0" borderId="3" xfId="4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</cellXfs>
  <cellStyles count="9">
    <cellStyle name="Comma" xfId="1" builtinId="3"/>
    <cellStyle name="Comma 2" xfId="2"/>
    <cellStyle name="Comma 9" xfId="3"/>
    <cellStyle name="Currency" xfId="4" builtinId="4"/>
    <cellStyle name="Normal" xfId="0" builtinId="0"/>
    <cellStyle name="Normal 2 2" xfId="5"/>
    <cellStyle name="Normal 5" xfId="6"/>
    <cellStyle name="Normal 6" xfId="7"/>
    <cellStyle name="Normal_report   ub city 00-08" xfId="8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Drive/AFG/2.ArdCredit%202022/Balance/Tailan/202212/GLTrialBalance%20202212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Google%20Drive/AFG/2.ArdCredit%202022/Balance/Tailan/202212/GL%20202212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bacAccount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"/>
      <sheetName val="Sheet14"/>
      <sheetName val="GL-huraangui"/>
      <sheetName val="tusgai huvi hemjee"/>
      <sheetName val="Эрс Сан"/>
      <sheetName val="Sheet12"/>
      <sheetName val="ajiltan uramshuulal"/>
      <sheetName val="loan"/>
      <sheetName val="trust uramshuulal"/>
      <sheetName val="dot pivot"/>
      <sheetName val="dot dans"/>
      <sheetName val="marketing hariltsagch pivot"/>
      <sheetName val="mar hariltsagch"/>
      <sheetName val="pivot zeel tulult"/>
      <sheetName val="zeel tulult"/>
    </sheetNames>
    <sheetDataSet>
      <sheetData sheetId="0">
        <row r="445">
          <cell r="F445">
            <v>-197719098.53999999</v>
          </cell>
        </row>
        <row r="446">
          <cell r="F446">
            <v>-482000</v>
          </cell>
        </row>
        <row r="447">
          <cell r="F447">
            <v>-5597700</v>
          </cell>
        </row>
        <row r="448">
          <cell r="F448">
            <v>-16328300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8"/>
      <sheetName val="Sheet7"/>
      <sheetName val="GL"/>
      <sheetName val="Sheet2"/>
      <sheetName val="хүү ор piv"/>
      <sheetName val="хүү орлого 81"/>
      <sheetName val="хувийн сектор"/>
      <sheetName val="хүү орлого бга"/>
      <sheetName val="ЭСан"/>
      <sheetName val="loan"/>
      <sheetName val="Tranches "/>
      <sheetName val="Sheet3"/>
      <sheetName val="dor pivot"/>
      <sheetName val="Dot dans"/>
      <sheetName val="Sheet1"/>
      <sheetName val="sourse"/>
    </sheetNames>
    <sheetDataSet>
      <sheetData sheetId="0"/>
      <sheetData sheetId="1"/>
      <sheetData sheetId="2">
        <row r="8">
          <cell r="G8">
            <v>504178.71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5">
          <cell r="F315">
            <v>43100</v>
          </cell>
        </row>
        <row r="316">
          <cell r="F316">
            <v>44308</v>
          </cell>
        </row>
        <row r="345">
          <cell r="F345">
            <v>43157</v>
          </cell>
        </row>
        <row r="346">
          <cell r="F346">
            <v>43126</v>
          </cell>
        </row>
        <row r="347">
          <cell r="F347">
            <v>44230</v>
          </cell>
        </row>
        <row r="348">
          <cell r="F348">
            <v>44189</v>
          </cell>
        </row>
        <row r="350">
          <cell r="F350">
            <v>43404</v>
          </cell>
        </row>
        <row r="351">
          <cell r="F351">
            <v>43110</v>
          </cell>
        </row>
        <row r="352">
          <cell r="F352">
            <v>44377</v>
          </cell>
        </row>
        <row r="362">
          <cell r="F362">
            <v>43627</v>
          </cell>
        </row>
        <row r="363">
          <cell r="F363">
            <v>43312</v>
          </cell>
        </row>
      </sheetData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127" zoomScale="96" zoomScaleNormal="96" zoomScaleSheetLayoutView="100" workbookViewId="0">
      <selection activeCell="B141" sqref="B141"/>
    </sheetView>
  </sheetViews>
  <sheetFormatPr defaultColWidth="9.109375" defaultRowHeight="13.2"/>
  <cols>
    <col min="1" max="1" width="55.109375" style="1" bestFit="1" customWidth="1"/>
    <col min="2" max="3" width="21" style="7" customWidth="1"/>
    <col min="4" max="4" width="9.109375" style="1"/>
    <col min="5" max="5" width="17.33203125" style="1" bestFit="1" customWidth="1"/>
    <col min="6" max="6" width="16.21875" style="1" bestFit="1" customWidth="1"/>
    <col min="7" max="16384" width="9.109375" style="1"/>
  </cols>
  <sheetData>
    <row r="1" spans="1:3">
      <c r="A1" s="9"/>
      <c r="B1" s="118" t="s">
        <v>321</v>
      </c>
      <c r="C1" s="118"/>
    </row>
    <row r="2" spans="1:3">
      <c r="B2" s="118" t="s">
        <v>322</v>
      </c>
      <c r="C2" s="118"/>
    </row>
    <row r="3" spans="1:3">
      <c r="A3" s="10" t="s">
        <v>156</v>
      </c>
      <c r="B3" s="9"/>
      <c r="C3" s="10" t="s">
        <v>158</v>
      </c>
    </row>
    <row r="4" spans="1:3">
      <c r="A4" s="119" t="s">
        <v>157</v>
      </c>
      <c r="B4" s="119"/>
      <c r="C4" s="119"/>
    </row>
    <row r="5" spans="1:3">
      <c r="A5" s="8"/>
      <c r="B5" s="8"/>
      <c r="C5" s="8"/>
    </row>
    <row r="6" spans="1:3">
      <c r="A6" s="1" t="s">
        <v>344</v>
      </c>
      <c r="C6" s="90" t="s">
        <v>329</v>
      </c>
    </row>
    <row r="7" spans="1:3">
      <c r="A7" s="117" t="s">
        <v>326</v>
      </c>
      <c r="B7" s="85" t="s">
        <v>1</v>
      </c>
      <c r="C7" s="85" t="s">
        <v>2</v>
      </c>
    </row>
    <row r="8" spans="1:3">
      <c r="A8" s="117"/>
      <c r="B8" s="94" t="s">
        <v>335</v>
      </c>
      <c r="C8" s="94" t="s">
        <v>324</v>
      </c>
    </row>
    <row r="9" spans="1:3">
      <c r="A9" s="95" t="s">
        <v>5</v>
      </c>
      <c r="B9" s="96" t="s">
        <v>3</v>
      </c>
      <c r="C9" s="96" t="s">
        <v>3</v>
      </c>
    </row>
    <row r="10" spans="1:3">
      <c r="A10" s="95" t="s">
        <v>6</v>
      </c>
      <c r="B10" s="96" t="s">
        <v>3</v>
      </c>
      <c r="C10" s="96" t="s">
        <v>3</v>
      </c>
    </row>
    <row r="11" spans="1:3">
      <c r="A11" s="97" t="s">
        <v>28</v>
      </c>
      <c r="B11" s="98">
        <f>SUM(B12:B14)</f>
        <v>6956116392.8499994</v>
      </c>
      <c r="C11" s="98">
        <f>SUM(C12:C14)</f>
        <v>5027667551.5199995</v>
      </c>
    </row>
    <row r="12" spans="1:3">
      <c r="A12" s="99" t="s">
        <v>29</v>
      </c>
      <c r="B12" s="20">
        <v>1763080.28</v>
      </c>
      <c r="C12" s="20">
        <v>48932551.75</v>
      </c>
    </row>
    <row r="13" spans="1:3" ht="13.5" customHeight="1">
      <c r="A13" s="99" t="s">
        <v>30</v>
      </c>
      <c r="B13" s="20">
        <v>6952742574.1199999</v>
      </c>
      <c r="C13" s="20">
        <v>4978724999.79</v>
      </c>
    </row>
    <row r="14" spans="1:3" ht="14.25" customHeight="1">
      <c r="A14" s="99" t="s">
        <v>31</v>
      </c>
      <c r="B14" s="96">
        <v>1610738.45</v>
      </c>
      <c r="C14" s="96">
        <v>9999.98</v>
      </c>
    </row>
    <row r="15" spans="1:3" s="9" customFormat="1">
      <c r="A15" s="97" t="s">
        <v>32</v>
      </c>
      <c r="B15" s="100">
        <f>SUM(B16:B20)</f>
        <v>7835852212.3800001</v>
      </c>
      <c r="C15" s="100">
        <f>SUM(C16:C20)</f>
        <v>3644460811.2500005</v>
      </c>
    </row>
    <row r="16" spans="1:3">
      <c r="A16" s="99" t="s">
        <v>33</v>
      </c>
      <c r="B16" s="96"/>
      <c r="C16" s="96"/>
    </row>
    <row r="17" spans="1:3">
      <c r="A17" s="99" t="s">
        <v>34</v>
      </c>
      <c r="B17" s="96">
        <v>4838475249.3800001</v>
      </c>
      <c r="C17" s="96">
        <f>2812231853.01+42900000.4</f>
        <v>2855131853.4100003</v>
      </c>
    </row>
    <row r="18" spans="1:3">
      <c r="A18" s="99" t="s">
        <v>35</v>
      </c>
      <c r="B18" s="96">
        <v>289000000</v>
      </c>
      <c r="C18" s="96">
        <v>280951994.83999997</v>
      </c>
    </row>
    <row r="19" spans="1:3">
      <c r="A19" s="99" t="s">
        <v>36</v>
      </c>
      <c r="B19" s="96" t="s">
        <v>3</v>
      </c>
      <c r="C19" s="96"/>
    </row>
    <row r="20" spans="1:3">
      <c r="A20" s="99" t="s">
        <v>342</v>
      </c>
      <c r="B20" s="96">
        <v>2708376963</v>
      </c>
      <c r="C20" s="96">
        <v>508376963</v>
      </c>
    </row>
    <row r="21" spans="1:3">
      <c r="A21" s="97" t="s">
        <v>37</v>
      </c>
      <c r="B21" s="98">
        <f>B22+B29</f>
        <v>34177792496.530003</v>
      </c>
      <c r="C21" s="98">
        <f>C22+C29</f>
        <v>40038097735.260002</v>
      </c>
    </row>
    <row r="22" spans="1:3" s="9" customFormat="1">
      <c r="A22" s="97" t="s">
        <v>38</v>
      </c>
      <c r="B22" s="101">
        <f>SUM(B23:B25)</f>
        <v>36645920744.260002</v>
      </c>
      <c r="C22" s="101">
        <f>SUM(C23:C25)</f>
        <v>41797842421.620003</v>
      </c>
    </row>
    <row r="23" spans="1:3">
      <c r="A23" s="99" t="s">
        <v>39</v>
      </c>
      <c r="B23" s="102">
        <v>33273068237.900002</v>
      </c>
      <c r="C23" s="102">
        <f>35767610717.82+498932962.19</f>
        <v>36266543680.010002</v>
      </c>
    </row>
    <row r="24" spans="1:3">
      <c r="A24" s="99" t="s">
        <v>40</v>
      </c>
      <c r="B24" s="103">
        <v>799382523.57000005</v>
      </c>
      <c r="C24" s="103">
        <v>2277384453.8699999</v>
      </c>
    </row>
    <row r="25" spans="1:3">
      <c r="A25" s="104" t="s">
        <v>41</v>
      </c>
      <c r="B25" s="105">
        <f>SUM(B26:B28)</f>
        <v>2573469982.79</v>
      </c>
      <c r="C25" s="105">
        <f>SUM(C26:C28)</f>
        <v>3253914287.7399998</v>
      </c>
    </row>
    <row r="26" spans="1:3">
      <c r="A26" s="106" t="s">
        <v>42</v>
      </c>
      <c r="B26" s="96">
        <v>1367379450.9400001</v>
      </c>
      <c r="C26" s="96">
        <v>2689399112.4400001</v>
      </c>
    </row>
    <row r="27" spans="1:3">
      <c r="A27" s="106" t="s">
        <v>43</v>
      </c>
      <c r="B27" s="96">
        <v>477004403.91000003</v>
      </c>
      <c r="C27" s="96">
        <v>241135068.34999999</v>
      </c>
    </row>
    <row r="28" spans="1:3">
      <c r="A28" s="106" t="s">
        <v>44</v>
      </c>
      <c r="B28" s="103">
        <v>729086127.94000006</v>
      </c>
      <c r="C28" s="103">
        <v>323380106.94999999</v>
      </c>
    </row>
    <row r="29" spans="1:3">
      <c r="A29" s="99" t="s">
        <v>45</v>
      </c>
      <c r="B29" s="107">
        <v>-2468128247.73</v>
      </c>
      <c r="C29" s="107">
        <v>-1759744686.3599999</v>
      </c>
    </row>
    <row r="30" spans="1:3">
      <c r="A30" s="97" t="s">
        <v>46</v>
      </c>
      <c r="B30" s="105">
        <f>+B31+B38+B45</f>
        <v>0</v>
      </c>
      <c r="C30" s="105">
        <f>+C31+C38+C45</f>
        <v>0</v>
      </c>
    </row>
    <row r="31" spans="1:3" ht="13.5" customHeight="1">
      <c r="A31" s="97" t="s">
        <v>47</v>
      </c>
      <c r="B31" s="105">
        <f>SUM(B32:B34)</f>
        <v>0</v>
      </c>
      <c r="C31" s="105">
        <f>SUM(C32:C34)</f>
        <v>0</v>
      </c>
    </row>
    <row r="32" spans="1:3">
      <c r="A32" s="99" t="s">
        <v>48</v>
      </c>
      <c r="B32" s="96" t="s">
        <v>3</v>
      </c>
      <c r="C32" s="96" t="s">
        <v>3</v>
      </c>
    </row>
    <row r="33" spans="1:3" ht="12.75" customHeight="1">
      <c r="A33" s="99" t="s">
        <v>49</v>
      </c>
      <c r="B33" s="96" t="s">
        <v>3</v>
      </c>
      <c r="C33" s="96" t="s">
        <v>3</v>
      </c>
    </row>
    <row r="34" spans="1:3">
      <c r="A34" s="104" t="s">
        <v>50</v>
      </c>
      <c r="B34" s="105">
        <f>SUM(B35:B37)</f>
        <v>0</v>
      </c>
      <c r="C34" s="105">
        <f>SUM(C35:C37)</f>
        <v>0</v>
      </c>
    </row>
    <row r="35" spans="1:3">
      <c r="A35" s="106" t="s">
        <v>51</v>
      </c>
      <c r="B35" s="96" t="s">
        <v>3</v>
      </c>
      <c r="C35" s="96" t="s">
        <v>3</v>
      </c>
    </row>
    <row r="36" spans="1:3" ht="12.75" customHeight="1">
      <c r="A36" s="106" t="s">
        <v>52</v>
      </c>
      <c r="B36" s="96" t="s">
        <v>3</v>
      </c>
      <c r="C36" s="96" t="s">
        <v>3</v>
      </c>
    </row>
    <row r="37" spans="1:3">
      <c r="A37" s="106" t="s">
        <v>53</v>
      </c>
      <c r="B37" s="96" t="s">
        <v>3</v>
      </c>
      <c r="C37" s="96" t="s">
        <v>3</v>
      </c>
    </row>
    <row r="38" spans="1:3">
      <c r="A38" s="97" t="s">
        <v>54</v>
      </c>
      <c r="B38" s="105">
        <f>SUM(B39:B41)</f>
        <v>0</v>
      </c>
      <c r="C38" s="105">
        <f>SUM(C39:C41)</f>
        <v>0</v>
      </c>
    </row>
    <row r="39" spans="1:3">
      <c r="A39" s="99" t="s">
        <v>55</v>
      </c>
      <c r="B39" s="96" t="s">
        <v>3</v>
      </c>
      <c r="C39" s="96" t="s">
        <v>3</v>
      </c>
    </row>
    <row r="40" spans="1:3">
      <c r="A40" s="99" t="s">
        <v>56</v>
      </c>
      <c r="B40" s="96" t="s">
        <v>3</v>
      </c>
      <c r="C40" s="96" t="s">
        <v>3</v>
      </c>
    </row>
    <row r="41" spans="1:3">
      <c r="A41" s="104" t="s">
        <v>57</v>
      </c>
      <c r="B41" s="105">
        <f>SUM(B42:B44)</f>
        <v>0</v>
      </c>
      <c r="C41" s="105">
        <f>SUM(C42:C44)</f>
        <v>0</v>
      </c>
    </row>
    <row r="42" spans="1:3">
      <c r="A42" s="106" t="s">
        <v>58</v>
      </c>
      <c r="B42" s="96" t="s">
        <v>3</v>
      </c>
      <c r="C42" s="96" t="s">
        <v>3</v>
      </c>
    </row>
    <row r="43" spans="1:3">
      <c r="A43" s="106" t="s">
        <v>59</v>
      </c>
      <c r="B43" s="96" t="s">
        <v>3</v>
      </c>
      <c r="C43" s="96" t="s">
        <v>3</v>
      </c>
    </row>
    <row r="44" spans="1:3">
      <c r="A44" s="106" t="s">
        <v>60</v>
      </c>
      <c r="B44" s="96" t="s">
        <v>3</v>
      </c>
      <c r="C44" s="96" t="s">
        <v>3</v>
      </c>
    </row>
    <row r="45" spans="1:3">
      <c r="A45" s="108" t="s">
        <v>330</v>
      </c>
      <c r="B45" s="96"/>
      <c r="C45" s="96"/>
    </row>
    <row r="46" spans="1:3" s="9" customFormat="1">
      <c r="A46" s="97" t="s">
        <v>61</v>
      </c>
      <c r="B46" s="105">
        <f>+B47+B54+B61</f>
        <v>0</v>
      </c>
      <c r="C46" s="105">
        <f>+C47+C54+C61</f>
        <v>0</v>
      </c>
    </row>
    <row r="47" spans="1:3">
      <c r="A47" s="97" t="s">
        <v>62</v>
      </c>
      <c r="B47" s="96">
        <f>SUM(B48:B50)</f>
        <v>0</v>
      </c>
      <c r="C47" s="96">
        <f>SUM(C48:C50)</f>
        <v>0</v>
      </c>
    </row>
    <row r="48" spans="1:3">
      <c r="A48" s="99" t="s">
        <v>63</v>
      </c>
      <c r="B48" s="96" t="s">
        <v>3</v>
      </c>
      <c r="C48" s="96" t="s">
        <v>3</v>
      </c>
    </row>
    <row r="49" spans="1:3">
      <c r="A49" s="99" t="s">
        <v>64</v>
      </c>
      <c r="B49" s="96" t="s">
        <v>3</v>
      </c>
      <c r="C49" s="96" t="s">
        <v>3</v>
      </c>
    </row>
    <row r="50" spans="1:3" s="9" customFormat="1">
      <c r="A50" s="104" t="s">
        <v>65</v>
      </c>
      <c r="B50" s="105">
        <f>SUM(B51:B53)</f>
        <v>0</v>
      </c>
      <c r="C50" s="105">
        <f>SUM(C51:C53)</f>
        <v>0</v>
      </c>
    </row>
    <row r="51" spans="1:3">
      <c r="A51" s="106" t="s">
        <v>66</v>
      </c>
      <c r="B51" s="96" t="s">
        <v>3</v>
      </c>
      <c r="C51" s="96" t="s">
        <v>3</v>
      </c>
    </row>
    <row r="52" spans="1:3">
      <c r="A52" s="106" t="s">
        <v>67</v>
      </c>
      <c r="B52" s="96" t="s">
        <v>3</v>
      </c>
      <c r="C52" s="96" t="s">
        <v>3</v>
      </c>
    </row>
    <row r="53" spans="1:3">
      <c r="A53" s="106" t="s">
        <v>68</v>
      </c>
      <c r="B53" s="96" t="s">
        <v>3</v>
      </c>
      <c r="C53" s="96" t="s">
        <v>3</v>
      </c>
    </row>
    <row r="54" spans="1:3" s="9" customFormat="1">
      <c r="A54" s="97" t="s">
        <v>69</v>
      </c>
      <c r="B54" s="105">
        <f>SUM(B55:B57)</f>
        <v>0</v>
      </c>
      <c r="C54" s="105">
        <f>SUM(C55:C57)</f>
        <v>0</v>
      </c>
    </row>
    <row r="55" spans="1:3">
      <c r="A55" s="99" t="s">
        <v>70</v>
      </c>
      <c r="B55" s="96" t="s">
        <v>3</v>
      </c>
      <c r="C55" s="96" t="s">
        <v>3</v>
      </c>
    </row>
    <row r="56" spans="1:3">
      <c r="A56" s="99" t="s">
        <v>71</v>
      </c>
      <c r="B56" s="96" t="s">
        <v>3</v>
      </c>
      <c r="C56" s="96" t="s">
        <v>3</v>
      </c>
    </row>
    <row r="57" spans="1:3" s="9" customFormat="1">
      <c r="A57" s="104" t="s">
        <v>72</v>
      </c>
      <c r="B57" s="105">
        <f>SUM(B58:B60)</f>
        <v>0</v>
      </c>
      <c r="C57" s="105">
        <f>SUM(C58:C60)</f>
        <v>0</v>
      </c>
    </row>
    <row r="58" spans="1:3">
      <c r="A58" s="106" t="s">
        <v>73</v>
      </c>
      <c r="B58" s="96" t="s">
        <v>3</v>
      </c>
      <c r="C58" s="96" t="s">
        <v>3</v>
      </c>
    </row>
    <row r="59" spans="1:3">
      <c r="A59" s="106" t="s">
        <v>74</v>
      </c>
      <c r="B59" s="96" t="s">
        <v>3</v>
      </c>
      <c r="C59" s="96" t="s">
        <v>3</v>
      </c>
    </row>
    <row r="60" spans="1:3">
      <c r="A60" s="106" t="s">
        <v>75</v>
      </c>
      <c r="B60" s="96" t="s">
        <v>3</v>
      </c>
      <c r="C60" s="96" t="s">
        <v>3</v>
      </c>
    </row>
    <row r="61" spans="1:3">
      <c r="A61" s="108" t="s">
        <v>76</v>
      </c>
      <c r="B61" s="96"/>
      <c r="C61" s="96"/>
    </row>
    <row r="62" spans="1:3">
      <c r="A62" s="97" t="s">
        <v>77</v>
      </c>
      <c r="B62" s="105" t="s">
        <v>3</v>
      </c>
      <c r="C62" s="105" t="s">
        <v>3</v>
      </c>
    </row>
    <row r="63" spans="1:3">
      <c r="A63" s="97" t="s">
        <v>78</v>
      </c>
      <c r="B63" s="98">
        <f>+B64+B65+B66+B71</f>
        <v>20583760629.210007</v>
      </c>
      <c r="C63" s="98">
        <f>+C64+C65+C66+C71</f>
        <v>4683810939.8199997</v>
      </c>
    </row>
    <row r="64" spans="1:3">
      <c r="A64" s="99" t="s">
        <v>79</v>
      </c>
      <c r="B64" s="96">
        <f>22723015503.27-4796580484.4</f>
        <v>17926435018.870003</v>
      </c>
      <c r="C64" s="96">
        <v>3725845027.4399996</v>
      </c>
    </row>
    <row r="65" spans="1:6">
      <c r="A65" s="99" t="s">
        <v>80</v>
      </c>
      <c r="B65" s="96">
        <v>-30269611.370000001</v>
      </c>
      <c r="C65" s="96">
        <v>-39107246.630000003</v>
      </c>
    </row>
    <row r="66" spans="1:6">
      <c r="A66" s="104" t="s">
        <v>81</v>
      </c>
      <c r="B66" s="60">
        <f>SUM(B67:B70)</f>
        <v>794733520.83000004</v>
      </c>
      <c r="C66" s="60">
        <f>SUM(C67:C70)</f>
        <v>850737123.29999995</v>
      </c>
    </row>
    <row r="67" spans="1:6">
      <c r="A67" s="109" t="s">
        <v>82</v>
      </c>
      <c r="B67" s="96">
        <v>794733520.83000004</v>
      </c>
      <c r="C67" s="96">
        <f>729005893.37+3606991.05</f>
        <v>732612884.41999996</v>
      </c>
    </row>
    <row r="68" spans="1:6" ht="26.4">
      <c r="A68" s="109" t="s">
        <v>83</v>
      </c>
      <c r="B68" s="96"/>
      <c r="C68" s="96"/>
      <c r="F68" s="50"/>
    </row>
    <row r="69" spans="1:6">
      <c r="A69" s="109" t="s">
        <v>84</v>
      </c>
      <c r="B69" s="96"/>
      <c r="C69" s="96">
        <v>118124238.88</v>
      </c>
    </row>
    <row r="70" spans="1:6">
      <c r="A70" s="109" t="s">
        <v>85</v>
      </c>
      <c r="B70" s="96"/>
      <c r="C70" s="96"/>
    </row>
    <row r="71" spans="1:6">
      <c r="A71" s="97" t="s">
        <v>86</v>
      </c>
      <c r="B71" s="96">
        <v>1892861700.8800001</v>
      </c>
      <c r="C71" s="96">
        <v>146336035.71000001</v>
      </c>
    </row>
    <row r="72" spans="1:6">
      <c r="A72" s="97" t="s">
        <v>87</v>
      </c>
      <c r="B72" s="105">
        <f>+B73+B74+B82+B83</f>
        <v>2021101821.5599997</v>
      </c>
      <c r="C72" s="105">
        <f>+C73+C74+C82+C83</f>
        <v>3053111090.6199999</v>
      </c>
    </row>
    <row r="73" spans="1:6">
      <c r="A73" s="108" t="s">
        <v>88</v>
      </c>
      <c r="B73" s="20">
        <f>1754403444.81+336330982.39-33728488.81-46859683.7</f>
        <v>2010146254.6899998</v>
      </c>
      <c r="C73" s="20">
        <v>1622026763.77</v>
      </c>
    </row>
    <row r="74" spans="1:6">
      <c r="A74" s="97" t="s">
        <v>89</v>
      </c>
      <c r="B74" s="105">
        <f>+B75+B76+B77+B81</f>
        <v>0</v>
      </c>
      <c r="C74" s="105">
        <f>+C75+C76+C77+C81</f>
        <v>952700000.00000012</v>
      </c>
      <c r="E74" s="50"/>
    </row>
    <row r="75" spans="1:6">
      <c r="A75" s="99" t="s">
        <v>90</v>
      </c>
      <c r="B75" s="96"/>
      <c r="C75" s="96">
        <v>952700000</v>
      </c>
    </row>
    <row r="76" spans="1:6">
      <c r="A76" s="99" t="s">
        <v>91</v>
      </c>
      <c r="B76" s="96"/>
      <c r="C76" s="96"/>
    </row>
    <row r="77" spans="1:6">
      <c r="A77" s="104" t="s">
        <v>92</v>
      </c>
      <c r="B77" s="105">
        <f>SUM(B78:B80)</f>
        <v>22503811</v>
      </c>
      <c r="C77" s="105">
        <f>SUM(C78:C80)</f>
        <v>317295782.36000001</v>
      </c>
    </row>
    <row r="78" spans="1:6">
      <c r="A78" s="106" t="s">
        <v>93</v>
      </c>
      <c r="B78" s="96"/>
      <c r="C78" s="96"/>
    </row>
    <row r="79" spans="1:6">
      <c r="A79" s="106" t="s">
        <v>94</v>
      </c>
      <c r="B79" s="96"/>
      <c r="C79" s="96"/>
      <c r="E79" s="50"/>
    </row>
    <row r="80" spans="1:6">
      <c r="A80" s="106" t="s">
        <v>95</v>
      </c>
      <c r="B80" s="96">
        <v>22503811</v>
      </c>
      <c r="C80" s="96">
        <v>317295782.36000001</v>
      </c>
    </row>
    <row r="81" spans="1:5">
      <c r="A81" s="108" t="s">
        <v>96</v>
      </c>
      <c r="B81" s="96">
        <v>-22503811</v>
      </c>
      <c r="C81" s="96">
        <v>-317295782.36000001</v>
      </c>
    </row>
    <row r="82" spans="1:5">
      <c r="A82" s="108" t="s">
        <v>97</v>
      </c>
      <c r="B82" s="96">
        <v>10355483.869999999</v>
      </c>
      <c r="C82" s="96">
        <v>1904500</v>
      </c>
      <c r="E82" s="50"/>
    </row>
    <row r="83" spans="1:5">
      <c r="A83" s="108" t="s">
        <v>98</v>
      </c>
      <c r="B83" s="96">
        <v>600083</v>
      </c>
      <c r="C83" s="96">
        <v>476479826.85000002</v>
      </c>
    </row>
    <row r="84" spans="1:5" ht="12.75" customHeight="1">
      <c r="A84" s="97" t="s">
        <v>99</v>
      </c>
      <c r="B84" s="110">
        <f>+B11+B21+B63+B72+B15</f>
        <v>71574623552.530014</v>
      </c>
      <c r="C84" s="110">
        <f>+C11+C21+C63+C72+C15</f>
        <v>56447148128.470001</v>
      </c>
    </row>
    <row r="85" spans="1:5">
      <c r="A85" s="95" t="s">
        <v>7</v>
      </c>
      <c r="B85" s="96" t="s">
        <v>3</v>
      </c>
      <c r="C85" s="96" t="s">
        <v>3</v>
      </c>
    </row>
    <row r="86" spans="1:5">
      <c r="A86" s="97" t="s">
        <v>100</v>
      </c>
      <c r="B86" s="105">
        <f>SUM(B87:B93)</f>
        <v>1187390681.1100001</v>
      </c>
      <c r="C86" s="105">
        <f>SUM(C87:C93)</f>
        <v>938891946.5400002</v>
      </c>
    </row>
    <row r="87" spans="1:5">
      <c r="A87" s="99" t="s">
        <v>101</v>
      </c>
      <c r="B87" s="20">
        <f>1059855072.29+12034602.34</f>
        <v>1071889674.63</v>
      </c>
      <c r="C87" s="20">
        <v>1074303124.9300001</v>
      </c>
    </row>
    <row r="88" spans="1:5">
      <c r="A88" s="99" t="s">
        <v>102</v>
      </c>
      <c r="B88" s="20">
        <v>-114743338.7</v>
      </c>
      <c r="C88" s="20">
        <v>-360212733.77999997</v>
      </c>
    </row>
    <row r="89" spans="1:5">
      <c r="A89" s="99" t="s">
        <v>103</v>
      </c>
      <c r="B89" s="96">
        <v>34619298</v>
      </c>
      <c r="C89" s="96">
        <v>72035058</v>
      </c>
    </row>
    <row r="90" spans="1:5">
      <c r="A90" s="99" t="s">
        <v>104</v>
      </c>
      <c r="B90" s="96">
        <v>-13792841.970000001</v>
      </c>
      <c r="C90" s="96">
        <v>-23829431.800000001</v>
      </c>
    </row>
    <row r="91" spans="1:5">
      <c r="A91" s="99" t="s">
        <v>105</v>
      </c>
      <c r="B91" s="96">
        <v>264042622</v>
      </c>
      <c r="C91" s="96">
        <v>284792622</v>
      </c>
    </row>
    <row r="92" spans="1:5">
      <c r="A92" s="99" t="s">
        <v>106</v>
      </c>
      <c r="B92" s="96">
        <v>-54624732.850000001</v>
      </c>
      <c r="C92" s="96">
        <v>-108196692.81</v>
      </c>
    </row>
    <row r="93" spans="1:5">
      <c r="A93" s="99" t="s">
        <v>107</v>
      </c>
      <c r="B93" s="96"/>
      <c r="C93" s="96"/>
    </row>
    <row r="94" spans="1:5">
      <c r="A94" s="97" t="s">
        <v>108</v>
      </c>
      <c r="B94" s="60">
        <f>SUM(B95:B96)</f>
        <v>625737916.64999998</v>
      </c>
      <c r="C94" s="60">
        <f>SUM(C95:C96)</f>
        <v>652706635.75999999</v>
      </c>
    </row>
    <row r="95" spans="1:5">
      <c r="A95" s="99" t="s">
        <v>109</v>
      </c>
      <c r="B95" s="20">
        <v>834325000</v>
      </c>
      <c r="C95" s="20">
        <v>965119344.09000003</v>
      </c>
    </row>
    <row r="96" spans="1:5">
      <c r="A96" s="99" t="s">
        <v>110</v>
      </c>
      <c r="B96" s="20">
        <v>-208587083.34999999</v>
      </c>
      <c r="C96" s="20">
        <v>-312412708.32999998</v>
      </c>
    </row>
    <row r="97" spans="1:5" ht="16.8">
      <c r="A97" s="97" t="s">
        <v>111</v>
      </c>
      <c r="B97" s="111">
        <f>+B94+B86</f>
        <v>1813128597.7600002</v>
      </c>
      <c r="C97" s="111">
        <f>+C94+C86</f>
        <v>1591598582.3000002</v>
      </c>
    </row>
    <row r="98" spans="1:5" s="92" customFormat="1" ht="23.25" customHeight="1">
      <c r="A98" s="112" t="s">
        <v>112</v>
      </c>
      <c r="B98" s="113">
        <f>+B97+B84</f>
        <v>73387752150.290009</v>
      </c>
      <c r="C98" s="113">
        <f>+C97+C84</f>
        <v>58038746710.770004</v>
      </c>
    </row>
    <row r="99" spans="1:5">
      <c r="A99" s="95" t="s">
        <v>8</v>
      </c>
      <c r="B99" s="96" t="s">
        <v>3</v>
      </c>
      <c r="C99" s="96" t="s">
        <v>3</v>
      </c>
    </row>
    <row r="100" spans="1:5">
      <c r="A100" s="97" t="s">
        <v>327</v>
      </c>
      <c r="B100" s="100">
        <f>+SUM(B101:B105)</f>
        <v>18362865131.5</v>
      </c>
      <c r="C100" s="100">
        <f>+SUM(C101:C105)</f>
        <v>17782874083.77</v>
      </c>
    </row>
    <row r="101" spans="1:5" ht="18" customHeight="1">
      <c r="A101" s="99" t="s">
        <v>113</v>
      </c>
      <c r="B101" s="96">
        <f>2085000000+11002000000+4714865131.5</f>
        <v>17801865131.5</v>
      </c>
      <c r="C101" s="96">
        <f>4430000000+120561000</f>
        <v>4550561000</v>
      </c>
    </row>
    <row r="102" spans="1:5" ht="26.4">
      <c r="A102" s="99" t="s">
        <v>114</v>
      </c>
      <c r="B102" s="96"/>
      <c r="C102" s="96"/>
    </row>
    <row r="103" spans="1:5">
      <c r="A103" s="99" t="s">
        <v>115</v>
      </c>
      <c r="B103" s="96">
        <v>561000000</v>
      </c>
      <c r="C103" s="96">
        <v>6886000000</v>
      </c>
    </row>
    <row r="104" spans="1:5">
      <c r="A104" s="99" t="s">
        <v>116</v>
      </c>
      <c r="B104" s="96"/>
      <c r="C104" s="96"/>
    </row>
    <row r="105" spans="1:5">
      <c r="A105" s="99" t="s">
        <v>117</v>
      </c>
      <c r="B105" s="96"/>
      <c r="C105" s="96">
        <v>6346313083.7700005</v>
      </c>
    </row>
    <row r="106" spans="1:5">
      <c r="A106" s="97" t="s">
        <v>118</v>
      </c>
      <c r="B106" s="100">
        <f>+SUM(B107:B111)</f>
        <v>18189153038.860001</v>
      </c>
      <c r="C106" s="100">
        <f>+SUM(C107:C111)</f>
        <v>13641276667.41</v>
      </c>
    </row>
    <row r="107" spans="1:5">
      <c r="A107" s="99" t="s">
        <v>119</v>
      </c>
      <c r="B107" s="96">
        <v>18189153038.860001</v>
      </c>
      <c r="C107" s="96">
        <v>13465657778.879999</v>
      </c>
    </row>
    <row r="108" spans="1:5">
      <c r="A108" s="99" t="s">
        <v>120</v>
      </c>
      <c r="B108" s="96"/>
      <c r="C108" s="96"/>
    </row>
    <row r="109" spans="1:5">
      <c r="A109" s="99" t="s">
        <v>121</v>
      </c>
      <c r="B109" s="96"/>
      <c r="C109" s="96">
        <v>175618888.53</v>
      </c>
    </row>
    <row r="110" spans="1:5">
      <c r="A110" s="99" t="s">
        <v>122</v>
      </c>
      <c r="B110" s="96"/>
      <c r="C110" s="96"/>
    </row>
    <row r="111" spans="1:5" ht="26.4">
      <c r="A111" s="99" t="s">
        <v>123</v>
      </c>
      <c r="B111" s="96"/>
      <c r="C111" s="96"/>
      <c r="E111" s="50"/>
    </row>
    <row r="112" spans="1:5">
      <c r="A112" s="97" t="s">
        <v>124</v>
      </c>
      <c r="B112" s="105">
        <f>+B113+B117</f>
        <v>12048945255.429998</v>
      </c>
      <c r="C112" s="105">
        <f>+C113+C117</f>
        <v>8250272732.1599998</v>
      </c>
    </row>
    <row r="113" spans="1:3">
      <c r="A113" s="97" t="s">
        <v>125</v>
      </c>
      <c r="B113" s="100">
        <f>+SUM(B114:B116)</f>
        <v>1969457381.5599999</v>
      </c>
      <c r="C113" s="100">
        <f>+SUM(C114:C116)</f>
        <v>2095871231.1399999</v>
      </c>
    </row>
    <row r="114" spans="1:3">
      <c r="A114" s="99" t="s">
        <v>126</v>
      </c>
      <c r="B114" s="96">
        <v>759186110.72000003</v>
      </c>
      <c r="C114" s="96">
        <f>1401344698.56+356722.76</f>
        <v>1401701421.3199999</v>
      </c>
    </row>
    <row r="115" spans="1:3">
      <c r="A115" s="99" t="s">
        <v>127</v>
      </c>
      <c r="B115" s="96"/>
      <c r="C115" s="96"/>
    </row>
    <row r="116" spans="1:3">
      <c r="A116" s="99" t="s">
        <v>128</v>
      </c>
      <c r="B116" s="96">
        <v>1210271270.8399999</v>
      </c>
      <c r="C116" s="96">
        <f>582297443.25+111872366.57</f>
        <v>694169809.81999993</v>
      </c>
    </row>
    <row r="117" spans="1:3">
      <c r="A117" s="97" t="s">
        <v>129</v>
      </c>
      <c r="B117" s="105">
        <f>+SUM(B118:B124)</f>
        <v>10079487873.869999</v>
      </c>
      <c r="C117" s="105">
        <f>+SUM(C118:C124)</f>
        <v>6154401501.0199995</v>
      </c>
    </row>
    <row r="118" spans="1:3">
      <c r="A118" s="99" t="s">
        <v>130</v>
      </c>
      <c r="B118" s="96">
        <v>167564369.08000001</v>
      </c>
      <c r="C118" s="96">
        <v>186867905.03999999</v>
      </c>
    </row>
    <row r="119" spans="1:3">
      <c r="A119" s="99" t="s">
        <v>131</v>
      </c>
      <c r="B119" s="96"/>
      <c r="C119" s="96"/>
    </row>
    <row r="120" spans="1:3">
      <c r="A120" s="99" t="s">
        <v>132</v>
      </c>
      <c r="B120" s="114">
        <v>16572781.199999999</v>
      </c>
      <c r="C120" s="114">
        <v>16572785.800000001</v>
      </c>
    </row>
    <row r="121" spans="1:3">
      <c r="A121" s="99" t="s">
        <v>133</v>
      </c>
      <c r="B121" s="96"/>
      <c r="C121" s="96"/>
    </row>
    <row r="122" spans="1:3">
      <c r="A122" s="99" t="s">
        <v>134</v>
      </c>
      <c r="B122" s="114">
        <f>164751561.96</f>
        <v>164751561.96000001</v>
      </c>
      <c r="C122" s="114">
        <v>321844271.24000001</v>
      </c>
    </row>
    <row r="123" spans="1:3">
      <c r="A123" s="99" t="s">
        <v>135</v>
      </c>
      <c r="B123" s="96">
        <v>870640219.90999997</v>
      </c>
      <c r="C123" s="115">
        <v>513722477.69999999</v>
      </c>
    </row>
    <row r="124" spans="1:3">
      <c r="A124" s="99" t="s">
        <v>136</v>
      </c>
      <c r="B124" s="96">
        <f>8862581433.49-2622491.77</f>
        <v>8859958941.7199993</v>
      </c>
      <c r="C124" s="96">
        <v>5115394061.2399998</v>
      </c>
    </row>
    <row r="125" spans="1:3" ht="16.8">
      <c r="A125" s="97" t="s">
        <v>137</v>
      </c>
      <c r="B125" s="110">
        <f>+B112+B106+B100</f>
        <v>48600963425.790001</v>
      </c>
      <c r="C125" s="110">
        <f>+C112+C106+C100</f>
        <v>39674423483.339996</v>
      </c>
    </row>
    <row r="126" spans="1:3">
      <c r="A126" s="97" t="s">
        <v>328</v>
      </c>
      <c r="B126" s="105"/>
      <c r="C126" s="105"/>
    </row>
    <row r="127" spans="1:3">
      <c r="A127" s="99" t="s">
        <v>138</v>
      </c>
      <c r="B127" s="96"/>
      <c r="C127" s="96"/>
    </row>
    <row r="128" spans="1:3" ht="26.4">
      <c r="A128" s="99" t="s">
        <v>139</v>
      </c>
      <c r="B128" s="96"/>
      <c r="C128" s="96"/>
    </row>
    <row r="129" spans="1:3">
      <c r="A129" s="99" t="s">
        <v>140</v>
      </c>
      <c r="B129" s="96">
        <v>2181524251.3600001</v>
      </c>
      <c r="C129" s="96">
        <v>314901631.18000001</v>
      </c>
    </row>
    <row r="130" spans="1:3" ht="16.8">
      <c r="A130" s="97" t="s">
        <v>141</v>
      </c>
      <c r="B130" s="110">
        <f>SUM(B127:B129)</f>
        <v>2181524251.3600001</v>
      </c>
      <c r="C130" s="110">
        <f>SUM(C127:C129)</f>
        <v>314901631.18000001</v>
      </c>
    </row>
    <row r="131" spans="1:3" ht="16.8">
      <c r="A131" s="95" t="s">
        <v>142</v>
      </c>
      <c r="B131" s="110">
        <f>B125+B130</f>
        <v>50782487677.150002</v>
      </c>
      <c r="C131" s="110">
        <f>C125+C130</f>
        <v>39989325114.519997</v>
      </c>
    </row>
    <row r="132" spans="1:3">
      <c r="A132" s="95" t="s">
        <v>9</v>
      </c>
      <c r="B132" s="96"/>
      <c r="C132" s="96"/>
    </row>
    <row r="133" spans="1:3">
      <c r="A133" s="99" t="s">
        <v>143</v>
      </c>
      <c r="B133" s="96">
        <v>2800000000</v>
      </c>
      <c r="C133" s="96">
        <v>2800000000</v>
      </c>
    </row>
    <row r="134" spans="1:3">
      <c r="A134" s="99" t="s">
        <v>144</v>
      </c>
      <c r="B134" s="96"/>
      <c r="C134" s="96"/>
    </row>
    <row r="135" spans="1:3">
      <c r="A135" s="99" t="s">
        <v>145</v>
      </c>
      <c r="B135" s="96"/>
      <c r="C135" s="96">
        <v>-58310</v>
      </c>
    </row>
    <row r="136" spans="1:3">
      <c r="A136" s="97" t="s">
        <v>146</v>
      </c>
      <c r="B136" s="105">
        <f>SUM(B133:B135)</f>
        <v>2800000000</v>
      </c>
      <c r="C136" s="105">
        <f>SUM(C133:C135)</f>
        <v>2799941690</v>
      </c>
    </row>
    <row r="137" spans="1:3">
      <c r="A137" s="97" t="s">
        <v>147</v>
      </c>
      <c r="B137" s="105">
        <f>SUM(B138:B142)+B145+B146</f>
        <v>19805264473.240002</v>
      </c>
      <c r="C137" s="105">
        <f>SUM(C138:C142)+C145+C146</f>
        <v>15249479906.250004</v>
      </c>
    </row>
    <row r="138" spans="1:3">
      <c r="A138" s="99" t="s">
        <v>148</v>
      </c>
      <c r="B138" s="96">
        <v>5342622574.04</v>
      </c>
      <c r="C138" s="96">
        <v>5352792433.21</v>
      </c>
    </row>
    <row r="139" spans="1:3">
      <c r="A139" s="99" t="s">
        <v>149</v>
      </c>
      <c r="B139" s="96"/>
      <c r="C139" s="96"/>
    </row>
    <row r="140" spans="1:3">
      <c r="A140" s="99" t="s">
        <v>150</v>
      </c>
      <c r="B140" s="96">
        <v>7053406086.8199997</v>
      </c>
      <c r="C140" s="96">
        <v>-3401128900.3800001</v>
      </c>
    </row>
    <row r="141" spans="1:3">
      <c r="A141" s="99" t="s">
        <v>151</v>
      </c>
      <c r="B141" s="96"/>
      <c r="C141" s="96">
        <v>5000000000</v>
      </c>
    </row>
    <row r="142" spans="1:3">
      <c r="A142" s="97" t="s">
        <v>331</v>
      </c>
      <c r="B142" s="105">
        <f>SUM(B143:B144)</f>
        <v>7409235812.3800001</v>
      </c>
      <c r="C142" s="105">
        <f>SUM(C143:C144)</f>
        <v>8297816373.4200029</v>
      </c>
    </row>
    <row r="143" spans="1:3">
      <c r="A143" s="99" t="s">
        <v>332</v>
      </c>
      <c r="B143" s="96">
        <v>3924818178.5900002</v>
      </c>
      <c r="C143" s="96">
        <v>2059224326.5800025</v>
      </c>
    </row>
    <row r="144" spans="1:3">
      <c r="A144" s="99" t="s">
        <v>333</v>
      </c>
      <c r="B144" s="96">
        <v>3484417633.79</v>
      </c>
      <c r="C144" s="96">
        <v>6238592046.8400002</v>
      </c>
    </row>
    <row r="145" spans="1:3">
      <c r="A145" s="108" t="s">
        <v>152</v>
      </c>
      <c r="B145" s="96"/>
      <c r="C145" s="96"/>
    </row>
    <row r="146" spans="1:3">
      <c r="A146" s="108" t="s">
        <v>153</v>
      </c>
      <c r="B146" s="96"/>
      <c r="C146" s="96"/>
    </row>
    <row r="147" spans="1:3" s="9" customFormat="1">
      <c r="A147" s="97" t="s">
        <v>154</v>
      </c>
      <c r="B147" s="105">
        <f>+B136+B137</f>
        <v>22605264473.240002</v>
      </c>
      <c r="C147" s="105">
        <f>+C136+C137</f>
        <v>18049421596.250004</v>
      </c>
    </row>
    <row r="148" spans="1:3" s="93" customFormat="1" ht="23.25" customHeight="1">
      <c r="A148" s="112" t="s">
        <v>155</v>
      </c>
      <c r="B148" s="113">
        <f>B130+B125+B147</f>
        <v>73387752150.389999</v>
      </c>
      <c r="C148" s="113">
        <f>C130+C125+C147</f>
        <v>58038746710.770004</v>
      </c>
    </row>
    <row r="149" spans="1:3">
      <c r="A149" s="1" t="s">
        <v>3</v>
      </c>
      <c r="B149" s="24">
        <f>B98-B148</f>
        <v>-9.99908447265625E-2</v>
      </c>
      <c r="C149" s="24">
        <f>C98-C148</f>
        <v>0</v>
      </c>
    </row>
    <row r="150" spans="1:3">
      <c r="A150" s="1" t="s">
        <v>323</v>
      </c>
      <c r="C150" s="7" t="s">
        <v>336</v>
      </c>
    </row>
    <row r="152" spans="1:3">
      <c r="A152" s="1" t="s">
        <v>27</v>
      </c>
      <c r="C152" s="7" t="s">
        <v>340</v>
      </c>
    </row>
    <row r="154" spans="1:3">
      <c r="B154" s="91"/>
      <c r="C154" s="91"/>
    </row>
    <row r="155" spans="1:3">
      <c r="B155" s="24"/>
      <c r="C155" s="24"/>
    </row>
  </sheetData>
  <mergeCells count="4">
    <mergeCell ref="A7:A8"/>
    <mergeCell ref="B1:C1"/>
    <mergeCell ref="B2:C2"/>
    <mergeCell ref="A4:C4"/>
  </mergeCells>
  <conditionalFormatting sqref="B150:B152">
    <cfRule type="cellIs" dxfId="1" priority="1" stopIfTrue="1" operator="lessThan">
      <formula>0</formula>
    </cfRule>
  </conditionalFormatting>
  <pageMargins left="0.62" right="0.48" top="0.79" bottom="0.7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tabSelected="1" zoomScaleNormal="100" zoomScaleSheetLayoutView="100" workbookViewId="0">
      <pane xSplit="1" ySplit="7" topLeftCell="B74" activePane="bottomRight" state="frozen"/>
      <selection pane="topRight" activeCell="B1" sqref="B1"/>
      <selection pane="bottomLeft" activeCell="A8" sqref="A8"/>
      <selection pane="bottomRight" activeCell="D1" sqref="D1:D1048576"/>
    </sheetView>
  </sheetViews>
  <sheetFormatPr defaultColWidth="9.109375" defaultRowHeight="13.2"/>
  <cols>
    <col min="1" max="1" width="65.77734375" style="1" customWidth="1"/>
    <col min="2" max="2" width="18.88671875" style="7" customWidth="1"/>
    <col min="3" max="3" width="20.21875" style="7" customWidth="1"/>
    <col min="4" max="4" width="9.109375" style="1"/>
    <col min="5" max="5" width="17.33203125" style="1" bestFit="1" customWidth="1"/>
    <col min="6" max="6" width="14.77734375" style="1" bestFit="1" customWidth="1"/>
    <col min="7" max="16384" width="9.109375" style="1"/>
  </cols>
  <sheetData>
    <row r="1" spans="1:6">
      <c r="A1" s="9"/>
      <c r="B1" s="118" t="s">
        <v>321</v>
      </c>
      <c r="C1" s="120"/>
    </row>
    <row r="2" spans="1:6">
      <c r="B2" s="118" t="s">
        <v>322</v>
      </c>
      <c r="C2" s="118"/>
    </row>
    <row r="3" spans="1:6">
      <c r="A3" s="10" t="s">
        <v>263</v>
      </c>
      <c r="B3" s="8"/>
      <c r="C3" s="8" t="s">
        <v>262</v>
      </c>
    </row>
    <row r="4" spans="1:6">
      <c r="A4" s="119" t="s">
        <v>157</v>
      </c>
      <c r="B4" s="119"/>
      <c r="C4" s="119"/>
    </row>
    <row r="5" spans="1:6">
      <c r="B5" s="83"/>
      <c r="C5" s="83"/>
    </row>
    <row r="6" spans="1:6">
      <c r="A6" s="1" t="str">
        <f>СБД!A6</f>
        <v>2022 оны 12 сарын 31 өдөр</v>
      </c>
      <c r="C6" s="11" t="s">
        <v>329</v>
      </c>
    </row>
    <row r="7" spans="1:6">
      <c r="A7" s="85" t="s">
        <v>0</v>
      </c>
      <c r="B7" s="85" t="s">
        <v>1</v>
      </c>
      <c r="C7" s="85" t="s">
        <v>2</v>
      </c>
    </row>
    <row r="8" spans="1:6">
      <c r="A8" s="54" t="s">
        <v>174</v>
      </c>
      <c r="B8" s="81">
        <f>SUM(B9:B18)</f>
        <v>7768611390.2799997</v>
      </c>
      <c r="C8" s="86">
        <f>SUM(C9:C18)</f>
        <v>11339294346.630001</v>
      </c>
    </row>
    <row r="9" spans="1:6">
      <c r="A9" s="53" t="s">
        <v>159</v>
      </c>
      <c r="B9" s="84">
        <v>7476612741.7200003</v>
      </c>
      <c r="C9" s="84">
        <v>9166374430.7700005</v>
      </c>
    </row>
    <row r="10" spans="1:6">
      <c r="A10" s="15" t="s">
        <v>160</v>
      </c>
      <c r="B10" s="16">
        <v>1543252803.74</v>
      </c>
      <c r="C10" s="16">
        <v>2061566167.77</v>
      </c>
    </row>
    <row r="11" spans="1:6">
      <c r="A11" s="15" t="s">
        <v>161</v>
      </c>
      <c r="B11" s="16">
        <v>61649355.140000001</v>
      </c>
      <c r="C11" s="16">
        <v>111353748.09</v>
      </c>
      <c r="F11" s="50"/>
    </row>
    <row r="12" spans="1:6" ht="13.5" customHeight="1">
      <c r="A12" s="15" t="s">
        <v>162</v>
      </c>
      <c r="B12" s="16"/>
      <c r="C12" s="16"/>
    </row>
    <row r="13" spans="1:6">
      <c r="A13" s="15" t="s">
        <v>163</v>
      </c>
      <c r="B13" s="16"/>
      <c r="C13" s="16"/>
    </row>
    <row r="14" spans="1:6" ht="13.5" customHeight="1">
      <c r="A14" s="15" t="s">
        <v>164</v>
      </c>
      <c r="B14" s="16"/>
      <c r="C14" s="16"/>
      <c r="E14" s="50"/>
    </row>
    <row r="15" spans="1:6" ht="12.75" customHeight="1">
      <c r="A15" s="15" t="s">
        <v>165</v>
      </c>
      <c r="B15" s="16"/>
      <c r="C15" s="16"/>
    </row>
    <row r="16" spans="1:6">
      <c r="A16" s="15" t="s">
        <v>166</v>
      </c>
      <c r="B16" s="16">
        <v>18468.64</v>
      </c>
      <c r="C16" s="16"/>
      <c r="E16" s="50"/>
    </row>
    <row r="17" spans="1:5">
      <c r="A17" s="15" t="s">
        <v>167</v>
      </c>
      <c r="B17" s="16"/>
      <c r="C17" s="16"/>
    </row>
    <row r="18" spans="1:5">
      <c r="A18" s="15" t="s">
        <v>168</v>
      </c>
      <c r="B18" s="16">
        <v>-1312921978.96</v>
      </c>
      <c r="C18" s="16"/>
    </row>
    <row r="19" spans="1:5">
      <c r="A19" s="3" t="s">
        <v>175</v>
      </c>
      <c r="B19" s="25">
        <f>SUM(B20:B24)</f>
        <v>1516878432.46</v>
      </c>
      <c r="C19" s="25">
        <f>SUM(C20:C24)</f>
        <v>3858139445.7799997</v>
      </c>
    </row>
    <row r="20" spans="1:5">
      <c r="A20" s="15" t="s">
        <v>169</v>
      </c>
      <c r="B20" s="2">
        <v>164315835.62</v>
      </c>
      <c r="C20" s="2">
        <v>218417099.43000001</v>
      </c>
    </row>
    <row r="21" spans="1:5" ht="12.75" customHeight="1">
      <c r="A21" s="15" t="s">
        <v>170</v>
      </c>
      <c r="B21" s="2">
        <v>971218338.52999997</v>
      </c>
      <c r="C21" s="2">
        <v>2814708234.1300001</v>
      </c>
    </row>
    <row r="22" spans="1:5">
      <c r="A22" s="15" t="s">
        <v>171</v>
      </c>
      <c r="B22" s="2"/>
      <c r="C22" s="2"/>
    </row>
    <row r="23" spans="1:5">
      <c r="A23" s="15" t="s">
        <v>172</v>
      </c>
      <c r="B23" s="2">
        <v>381344258.31</v>
      </c>
      <c r="C23" s="2">
        <v>825014112.22000003</v>
      </c>
    </row>
    <row r="24" spans="1:5">
      <c r="A24" s="15" t="s">
        <v>173</v>
      </c>
      <c r="B24" s="2"/>
      <c r="C24" s="2"/>
      <c r="E24" s="50"/>
    </row>
    <row r="25" spans="1:5" ht="18" customHeight="1">
      <c r="A25" s="26" t="s">
        <v>176</v>
      </c>
      <c r="B25" s="27">
        <f>+B8-B19</f>
        <v>6251732957.8199997</v>
      </c>
      <c r="C25" s="27">
        <f>+C8-C19</f>
        <v>7481154900.8500013</v>
      </c>
      <c r="E25" s="50"/>
    </row>
    <row r="26" spans="1:5">
      <c r="A26" s="3" t="s">
        <v>177</v>
      </c>
      <c r="B26" s="25">
        <f>+B27+B30+B33</f>
        <v>7588882067.3699999</v>
      </c>
      <c r="C26" s="25">
        <f>+C27+C30+C33</f>
        <v>5945034880.8800011</v>
      </c>
    </row>
    <row r="27" spans="1:5">
      <c r="A27" s="17" t="s">
        <v>178</v>
      </c>
      <c r="B27" s="14">
        <f>SUM(B28:B29)</f>
        <v>245127802.60999998</v>
      </c>
      <c r="C27" s="14">
        <f>SUM(C28:C29)</f>
        <v>366110140.92000002</v>
      </c>
    </row>
    <row r="28" spans="1:5">
      <c r="A28" s="18" t="s">
        <v>179</v>
      </c>
      <c r="B28" s="2">
        <v>15239468.92</v>
      </c>
      <c r="C28" s="2">
        <v>360405308.49000001</v>
      </c>
    </row>
    <row r="29" spans="1:5">
      <c r="A29" s="18" t="s">
        <v>180</v>
      </c>
      <c r="B29" s="2">
        <v>229888333.69</v>
      </c>
      <c r="C29" s="2">
        <v>5704832.4299999997</v>
      </c>
    </row>
    <row r="30" spans="1:5">
      <c r="A30" s="17" t="s">
        <v>181</v>
      </c>
      <c r="B30" s="14">
        <f>SUM(B31:B32)</f>
        <v>226468009.78999999</v>
      </c>
      <c r="C30" s="62">
        <f>SUM(C31:C32)</f>
        <v>727167495.69000006</v>
      </c>
    </row>
    <row r="31" spans="1:5">
      <c r="A31" s="18" t="s">
        <v>182</v>
      </c>
      <c r="B31" s="2">
        <v>226468009.78999999</v>
      </c>
      <c r="C31" s="2">
        <v>727167495.69000006</v>
      </c>
    </row>
    <row r="32" spans="1:5">
      <c r="A32" s="18" t="s">
        <v>334</v>
      </c>
      <c r="B32" s="2"/>
      <c r="C32" s="2"/>
    </row>
    <row r="33" spans="1:3">
      <c r="A33" s="17" t="s">
        <v>183</v>
      </c>
      <c r="B33" s="14">
        <f>SUM(B34:B40)</f>
        <v>7117286254.9700003</v>
      </c>
      <c r="C33" s="62">
        <f>SUM(C34:C40)</f>
        <v>4851757244.2700005</v>
      </c>
    </row>
    <row r="34" spans="1:3">
      <c r="A34" s="18" t="s">
        <v>184</v>
      </c>
      <c r="B34" s="16"/>
      <c r="C34" s="2"/>
    </row>
    <row r="35" spans="1:3">
      <c r="A35" s="18" t="s">
        <v>185</v>
      </c>
      <c r="B35" s="2">
        <v>2573682.06</v>
      </c>
      <c r="C35" s="2"/>
    </row>
    <row r="36" spans="1:3">
      <c r="A36" s="18" t="s">
        <v>186</v>
      </c>
      <c r="B36" s="16"/>
      <c r="C36" s="16">
        <v>54915454.880000003</v>
      </c>
    </row>
    <row r="37" spans="1:3">
      <c r="A37" s="18" t="s">
        <v>187</v>
      </c>
      <c r="B37" s="16"/>
      <c r="C37" s="16"/>
    </row>
    <row r="38" spans="1:3">
      <c r="A38" s="18" t="s">
        <v>188</v>
      </c>
      <c r="B38" s="2">
        <v>149555164.94999999</v>
      </c>
      <c r="C38" s="2"/>
    </row>
    <row r="39" spans="1:3">
      <c r="A39" s="18" t="s">
        <v>189</v>
      </c>
      <c r="B39" s="2">
        <v>2223823139.2399998</v>
      </c>
      <c r="C39" s="2">
        <v>4796841789.3900003</v>
      </c>
    </row>
    <row r="40" spans="1:3">
      <c r="A40" s="18" t="s">
        <v>190</v>
      </c>
      <c r="B40" s="2">
        <v>4741334268.7200003</v>
      </c>
      <c r="C40" s="2"/>
    </row>
    <row r="41" spans="1:3">
      <c r="A41" s="3" t="s">
        <v>191</v>
      </c>
      <c r="B41" s="25">
        <f>+B42+B47+B57</f>
        <v>7533320475.4699993</v>
      </c>
      <c r="C41" s="25">
        <f>+C42+C47+C57</f>
        <v>8991025355.0500011</v>
      </c>
    </row>
    <row r="42" spans="1:3">
      <c r="A42" s="17" t="s">
        <v>192</v>
      </c>
      <c r="B42" s="14">
        <f>SUM(B43:B46)</f>
        <v>197606861</v>
      </c>
      <c r="C42" s="14">
        <f>SUM(C43:C46)</f>
        <v>1285394517.22</v>
      </c>
    </row>
    <row r="43" spans="1:3">
      <c r="A43" s="18" t="s">
        <v>193</v>
      </c>
      <c r="B43" s="2">
        <v>5361375.08</v>
      </c>
      <c r="C43" s="2">
        <v>70315229.959999993</v>
      </c>
    </row>
    <row r="44" spans="1:3">
      <c r="A44" s="18" t="s">
        <v>194</v>
      </c>
      <c r="B44" s="2"/>
      <c r="C44" s="2"/>
    </row>
    <row r="45" spans="1:3">
      <c r="A45" s="18" t="s">
        <v>195</v>
      </c>
      <c r="B45" s="2">
        <v>192245485.91999999</v>
      </c>
      <c r="C45" s="2">
        <v>1215079287.26</v>
      </c>
    </row>
    <row r="46" spans="1:3">
      <c r="A46" s="18" t="s">
        <v>196</v>
      </c>
      <c r="B46" s="2"/>
      <c r="C46" s="2"/>
    </row>
    <row r="47" spans="1:3">
      <c r="A47" s="17" t="s">
        <v>197</v>
      </c>
      <c r="B47" s="14">
        <f>SUM(B48:B56)</f>
        <v>1270156407.3299999</v>
      </c>
      <c r="C47" s="14">
        <f>SUM(C48:C56)</f>
        <v>1739098298.8299999</v>
      </c>
    </row>
    <row r="48" spans="1:3">
      <c r="A48" s="18" t="s">
        <v>198</v>
      </c>
      <c r="B48" s="2">
        <v>883749996.55999994</v>
      </c>
      <c r="C48" s="2">
        <v>986811822</v>
      </c>
    </row>
    <row r="49" spans="1:5">
      <c r="A49" s="18" t="s">
        <v>199</v>
      </c>
      <c r="B49" s="79">
        <v>196014436.62</v>
      </c>
      <c r="C49" s="79">
        <v>531321294.58999997</v>
      </c>
    </row>
    <row r="50" spans="1:5">
      <c r="A50" s="19" t="s">
        <v>200</v>
      </c>
      <c r="B50" s="57"/>
      <c r="C50" s="57"/>
    </row>
    <row r="51" spans="1:5">
      <c r="A51" s="19" t="s">
        <v>201</v>
      </c>
      <c r="B51" s="57">
        <v>2798600</v>
      </c>
      <c r="C51" s="57">
        <v>4487049.62</v>
      </c>
    </row>
    <row r="52" spans="1:5">
      <c r="A52" s="19" t="s">
        <v>202</v>
      </c>
      <c r="B52" s="57">
        <v>20728574</v>
      </c>
      <c r="C52" s="57">
        <v>14095238</v>
      </c>
    </row>
    <row r="53" spans="1:5">
      <c r="A53" s="19" t="s">
        <v>203</v>
      </c>
      <c r="B53" s="57">
        <v>134469626.69</v>
      </c>
      <c r="C53" s="57">
        <v>155410032.66</v>
      </c>
    </row>
    <row r="54" spans="1:5">
      <c r="A54" s="19" t="s">
        <v>204</v>
      </c>
      <c r="B54" s="57">
        <v>28545173.460000001</v>
      </c>
      <c r="C54" s="57">
        <v>38894261.960000001</v>
      </c>
    </row>
    <row r="55" spans="1:5">
      <c r="A55" s="19" t="s">
        <v>205</v>
      </c>
      <c r="B55" s="57">
        <v>2510000</v>
      </c>
      <c r="C55" s="57">
        <v>8078600</v>
      </c>
    </row>
    <row r="56" spans="1:5">
      <c r="A56" s="19" t="s">
        <v>206</v>
      </c>
      <c r="B56" s="20">
        <v>1340000</v>
      </c>
      <c r="C56" s="20"/>
      <c r="E56" s="50"/>
    </row>
    <row r="57" spans="1:5">
      <c r="A57" s="68" t="s">
        <v>207</v>
      </c>
      <c r="B57" s="60">
        <f>SUM(B58:B82)</f>
        <v>6065557207.1399994</v>
      </c>
      <c r="C57" s="60">
        <f>SUM(C58:C82)</f>
        <v>5966532539.000001</v>
      </c>
      <c r="E57" s="50"/>
    </row>
    <row r="58" spans="1:5" ht="26.4">
      <c r="A58" s="19" t="s">
        <v>208</v>
      </c>
      <c r="B58" s="57">
        <v>829110.6</v>
      </c>
      <c r="C58" s="57">
        <v>7243905</v>
      </c>
      <c r="E58" s="50"/>
    </row>
    <row r="59" spans="1:5" ht="26.4">
      <c r="A59" s="19" t="s">
        <v>209</v>
      </c>
      <c r="B59" s="57">
        <v>303012191.19</v>
      </c>
      <c r="C59" s="57">
        <v>122150200.88</v>
      </c>
      <c r="E59" s="50"/>
    </row>
    <row r="60" spans="1:5">
      <c r="A60" s="19" t="s">
        <v>210</v>
      </c>
      <c r="B60" s="57"/>
      <c r="C60" s="57"/>
    </row>
    <row r="61" spans="1:5">
      <c r="A61" s="19" t="s">
        <v>211</v>
      </c>
      <c r="B61" s="57"/>
      <c r="C61" s="57"/>
    </row>
    <row r="62" spans="1:5" ht="13.5" customHeight="1">
      <c r="A62" s="19" t="s">
        <v>212</v>
      </c>
      <c r="B62" s="57">
        <v>2396991784.1199999</v>
      </c>
      <c r="C62" s="57">
        <v>2655460429.5599999</v>
      </c>
    </row>
    <row r="63" spans="1:5">
      <c r="A63" s="19" t="s">
        <v>213</v>
      </c>
      <c r="B63" s="57">
        <v>711469542.08000004</v>
      </c>
      <c r="C63" s="57">
        <v>1172154362.6700001</v>
      </c>
    </row>
    <row r="64" spans="1:5">
      <c r="A64" s="19" t="s">
        <v>214</v>
      </c>
      <c r="B64" s="57">
        <v>16721859</v>
      </c>
      <c r="C64" s="57">
        <v>17124538.559999999</v>
      </c>
    </row>
    <row r="65" spans="1:3">
      <c r="A65" s="19" t="s">
        <v>215</v>
      </c>
      <c r="B65" s="57">
        <v>127845806</v>
      </c>
      <c r="C65" s="57">
        <v>108616580</v>
      </c>
    </row>
    <row r="66" spans="1:3" ht="12" customHeight="1">
      <c r="A66" s="19" t="s">
        <v>216</v>
      </c>
      <c r="B66" s="57">
        <v>33251509.719999999</v>
      </c>
      <c r="C66" s="57">
        <v>14001256.98</v>
      </c>
    </row>
    <row r="67" spans="1:3">
      <c r="A67" s="19" t="s">
        <v>217</v>
      </c>
      <c r="B67" s="57">
        <v>267963439.34</v>
      </c>
      <c r="C67" s="57">
        <v>413299222.52999997</v>
      </c>
    </row>
    <row r="68" spans="1:3">
      <c r="A68" s="19" t="s">
        <v>218</v>
      </c>
      <c r="B68" s="57">
        <v>35893090.359999999</v>
      </c>
      <c r="C68" s="57">
        <v>25367687.16</v>
      </c>
    </row>
    <row r="69" spans="1:3">
      <c r="A69" s="19" t="s">
        <v>219</v>
      </c>
      <c r="B69" s="57">
        <v>14853469</v>
      </c>
      <c r="C69" s="57">
        <v>24684201.670000002</v>
      </c>
    </row>
    <row r="70" spans="1:3">
      <c r="A70" s="19" t="s">
        <v>220</v>
      </c>
      <c r="B70" s="57">
        <v>18450049</v>
      </c>
      <c r="C70" s="57">
        <v>18986693</v>
      </c>
    </row>
    <row r="71" spans="1:3">
      <c r="A71" s="19" t="s">
        <v>221</v>
      </c>
      <c r="B71" s="57">
        <v>2334550</v>
      </c>
      <c r="C71" s="57">
        <v>5639145</v>
      </c>
    </row>
    <row r="72" spans="1:3">
      <c r="A72" s="19" t="s">
        <v>222</v>
      </c>
      <c r="B72" s="57">
        <v>21940000</v>
      </c>
      <c r="C72" s="57">
        <v>28657422</v>
      </c>
    </row>
    <row r="73" spans="1:3">
      <c r="A73" s="19" t="s">
        <v>223</v>
      </c>
      <c r="B73" s="57"/>
      <c r="C73" s="57">
        <v>2353783</v>
      </c>
    </row>
    <row r="74" spans="1:3">
      <c r="A74" s="19" t="s">
        <v>224</v>
      </c>
      <c r="B74" s="57"/>
      <c r="C74" s="57">
        <v>225000</v>
      </c>
    </row>
    <row r="75" spans="1:3">
      <c r="A75" s="19" t="s">
        <v>225</v>
      </c>
      <c r="B75" s="57">
        <v>364037871.24000001</v>
      </c>
      <c r="C75" s="57">
        <v>440309368.72000003</v>
      </c>
    </row>
    <row r="76" spans="1:3">
      <c r="A76" s="19" t="s">
        <v>226</v>
      </c>
      <c r="B76" s="57">
        <v>128150</v>
      </c>
      <c r="C76" s="57">
        <v>554764.68000000005</v>
      </c>
    </row>
    <row r="77" spans="1:3">
      <c r="A77" s="19" t="s">
        <v>227</v>
      </c>
      <c r="B77" s="57">
        <v>1015227386.73</v>
      </c>
      <c r="C77" s="57">
        <v>104315870.63</v>
      </c>
    </row>
    <row r="78" spans="1:3">
      <c r="A78" s="19" t="s">
        <v>228</v>
      </c>
      <c r="B78" s="57">
        <v>32122370</v>
      </c>
      <c r="C78" s="57">
        <v>25947460</v>
      </c>
    </row>
    <row r="79" spans="1:3">
      <c r="A79" s="19" t="s">
        <v>229</v>
      </c>
      <c r="B79" s="57"/>
      <c r="C79" s="57"/>
    </row>
    <row r="80" spans="1:3">
      <c r="A80" s="19" t="s">
        <v>230</v>
      </c>
      <c r="B80" s="57"/>
      <c r="C80" s="57"/>
    </row>
    <row r="81" spans="1:3">
      <c r="A81" s="19" t="s">
        <v>231</v>
      </c>
      <c r="B81" s="57">
        <v>25173605</v>
      </c>
      <c r="C81" s="57">
        <v>88632390.450000003</v>
      </c>
    </row>
    <row r="82" spans="1:3">
      <c r="A82" s="52" t="s">
        <v>232</v>
      </c>
      <c r="B82" s="57">
        <v>677311423.75999999</v>
      </c>
      <c r="C82" s="57">
        <v>690808256.50999999</v>
      </c>
    </row>
    <row r="83" spans="1:3" ht="17.25" customHeight="1">
      <c r="A83" s="69" t="s">
        <v>233</v>
      </c>
      <c r="B83" s="80">
        <f>B26-B41</f>
        <v>55561591.900000572</v>
      </c>
      <c r="C83" s="80">
        <f>C26-C41</f>
        <v>-3045990474.1700001</v>
      </c>
    </row>
    <row r="84" spans="1:3" ht="26.25" customHeight="1">
      <c r="A84" s="70" t="s">
        <v>234</v>
      </c>
      <c r="B84" s="81">
        <f>+B25+B83</f>
        <v>6307294549.7200003</v>
      </c>
      <c r="C84" s="81">
        <f>+C25+C83</f>
        <v>4435164426.6800013</v>
      </c>
    </row>
    <row r="85" spans="1:3" s="9" customFormat="1">
      <c r="A85" s="71" t="s">
        <v>235</v>
      </c>
      <c r="B85" s="60">
        <f>SUM(B86:B91)</f>
        <v>2145841706.99</v>
      </c>
      <c r="C85" s="60">
        <f>SUM(C86:C91)</f>
        <v>2530969227.2600002</v>
      </c>
    </row>
    <row r="86" spans="1:3">
      <c r="A86" s="72" t="s">
        <v>236</v>
      </c>
      <c r="B86" s="20"/>
      <c r="C86" s="20"/>
    </row>
    <row r="87" spans="1:3">
      <c r="A87" s="73" t="s">
        <v>237</v>
      </c>
      <c r="B87" s="57">
        <v>2143376034.3499999</v>
      </c>
      <c r="C87" s="57">
        <v>2227677921.02</v>
      </c>
    </row>
    <row r="88" spans="1:3">
      <c r="A88" s="43" t="s">
        <v>238</v>
      </c>
      <c r="B88" s="57"/>
      <c r="C88" s="57"/>
    </row>
    <row r="89" spans="1:3">
      <c r="A89" s="43" t="s">
        <v>239</v>
      </c>
      <c r="B89" s="57"/>
      <c r="C89" s="57"/>
    </row>
    <row r="90" spans="1:3">
      <c r="A90" s="43" t="s">
        <v>240</v>
      </c>
      <c r="B90" s="57"/>
      <c r="C90" s="57">
        <v>8499334.8800000008</v>
      </c>
    </row>
    <row r="91" spans="1:3">
      <c r="A91" s="43" t="s">
        <v>241</v>
      </c>
      <c r="B91" s="57">
        <v>2465672.64</v>
      </c>
      <c r="C91" s="57">
        <v>294791971.36000001</v>
      </c>
    </row>
    <row r="92" spans="1:3">
      <c r="A92" s="74" t="s">
        <v>242</v>
      </c>
      <c r="B92" s="81">
        <f>B84-B85</f>
        <v>4161452842.7300005</v>
      </c>
      <c r="C92" s="81">
        <f>C84-C85</f>
        <v>1904195199.420001</v>
      </c>
    </row>
    <row r="93" spans="1:3">
      <c r="A93" s="75" t="s">
        <v>243</v>
      </c>
      <c r="B93" s="60">
        <f>SUM(B94:B99)</f>
        <v>678569063.63999999</v>
      </c>
      <c r="C93" s="60">
        <f>SUM(C94:C99)</f>
        <v>575758695.37</v>
      </c>
    </row>
    <row r="94" spans="1:3">
      <c r="A94" s="43" t="s">
        <v>244</v>
      </c>
      <c r="B94" s="20"/>
      <c r="C94" s="20"/>
    </row>
    <row r="95" spans="1:3">
      <c r="A95" s="43" t="s">
        <v>245</v>
      </c>
      <c r="B95" s="57">
        <v>100000000</v>
      </c>
      <c r="C95" s="20"/>
    </row>
    <row r="96" spans="1:3">
      <c r="A96" s="43" t="s">
        <v>246</v>
      </c>
      <c r="B96" s="57">
        <v>16849910.170000002</v>
      </c>
      <c r="C96" s="20">
        <v>28545054.670000002</v>
      </c>
    </row>
    <row r="97" spans="1:3">
      <c r="A97" s="43" t="s">
        <v>247</v>
      </c>
      <c r="B97" s="57">
        <v>15971696.02</v>
      </c>
      <c r="C97" s="20"/>
    </row>
    <row r="98" spans="1:3">
      <c r="A98" s="43" t="s">
        <v>248</v>
      </c>
      <c r="B98" s="57">
        <v>353910213.5</v>
      </c>
      <c r="C98" s="20">
        <v>547213640.70000005</v>
      </c>
    </row>
    <row r="99" spans="1:3">
      <c r="A99" s="43" t="s">
        <v>249</v>
      </c>
      <c r="B99" s="57">
        <v>191837243.94999999</v>
      </c>
      <c r="C99" s="20"/>
    </row>
    <row r="100" spans="1:3">
      <c r="A100" s="75" t="s">
        <v>250</v>
      </c>
      <c r="B100" s="60">
        <f>SUM(B101:B105)</f>
        <v>292032923.33000004</v>
      </c>
      <c r="C100" s="60">
        <f>SUM(C101:C105)</f>
        <v>45388692.629999995</v>
      </c>
    </row>
    <row r="101" spans="1:3">
      <c r="A101" s="43" t="s">
        <v>251</v>
      </c>
      <c r="B101" s="57">
        <v>891697</v>
      </c>
      <c r="C101" s="57">
        <v>440500</v>
      </c>
    </row>
    <row r="102" spans="1:3">
      <c r="A102" s="43" t="s">
        <v>252</v>
      </c>
      <c r="B102" s="57">
        <v>10102060</v>
      </c>
      <c r="C102" s="57"/>
    </row>
    <row r="103" spans="1:3">
      <c r="A103" s="43" t="s">
        <v>253</v>
      </c>
      <c r="B103" s="57"/>
      <c r="C103" s="57"/>
    </row>
    <row r="104" spans="1:3">
      <c r="A104" s="43" t="s">
        <v>254</v>
      </c>
      <c r="B104" s="57">
        <v>60395153.090000004</v>
      </c>
      <c r="C104" s="57">
        <v>25261526.629999999</v>
      </c>
    </row>
    <row r="105" spans="1:3">
      <c r="A105" s="43" t="s">
        <v>255</v>
      </c>
      <c r="B105" s="57">
        <v>220644013.24000001</v>
      </c>
      <c r="C105" s="57">
        <v>19686666</v>
      </c>
    </row>
    <row r="106" spans="1:3">
      <c r="A106" s="75" t="s">
        <v>256</v>
      </c>
      <c r="B106" s="60">
        <f>B92+B93-B100</f>
        <v>4547988983.0400009</v>
      </c>
      <c r="C106" s="60">
        <f>C92+C93-C100</f>
        <v>2434565202.1600008</v>
      </c>
    </row>
    <row r="107" spans="1:3">
      <c r="A107" s="76" t="s">
        <v>257</v>
      </c>
      <c r="B107" s="20">
        <v>0</v>
      </c>
      <c r="C107" s="20">
        <v>0</v>
      </c>
    </row>
    <row r="108" spans="1:3">
      <c r="A108" s="76" t="s">
        <v>258</v>
      </c>
      <c r="B108" s="20">
        <v>0</v>
      </c>
      <c r="C108" s="20"/>
    </row>
    <row r="109" spans="1:3">
      <c r="A109" s="77" t="s">
        <v>259</v>
      </c>
      <c r="B109" s="81">
        <f>+B92+B93-B100</f>
        <v>4547988983.0400009</v>
      </c>
      <c r="C109" s="81">
        <f>+C92+C93-C100</f>
        <v>2434565202.1600008</v>
      </c>
    </row>
    <row r="110" spans="1:3">
      <c r="A110" s="76" t="s">
        <v>260</v>
      </c>
      <c r="B110" s="57">
        <v>623170804.45000005</v>
      </c>
      <c r="C110" s="57">
        <f>343398377.51+31942448.82</f>
        <v>375340826.32999998</v>
      </c>
    </row>
    <row r="111" spans="1:3" ht="18" customHeight="1">
      <c r="A111" s="78" t="s">
        <v>261</v>
      </c>
      <c r="B111" s="82">
        <f>+B109-B110</f>
        <v>3924818178.5900011</v>
      </c>
      <c r="C111" s="82">
        <f>+C109-C110</f>
        <v>2059224375.8300009</v>
      </c>
    </row>
    <row r="112" spans="1:3">
      <c r="A112" s="1" t="s">
        <v>3</v>
      </c>
      <c r="C112" s="22"/>
    </row>
    <row r="113" spans="1:3">
      <c r="A113" s="1" t="s">
        <v>323</v>
      </c>
      <c r="C113" s="23" t="s">
        <v>336</v>
      </c>
    </row>
    <row r="115" spans="1:3">
      <c r="A115" s="1" t="s">
        <v>27</v>
      </c>
      <c r="C115" s="23" t="s">
        <v>340</v>
      </c>
    </row>
    <row r="117" spans="1:3">
      <c r="C117" s="24"/>
    </row>
    <row r="118" spans="1:3">
      <c r="C118" s="24"/>
    </row>
    <row r="119" spans="1:3">
      <c r="B119" s="24"/>
      <c r="C119" s="24"/>
    </row>
    <row r="120" spans="1:3">
      <c r="C120" s="24"/>
    </row>
  </sheetData>
  <mergeCells count="3">
    <mergeCell ref="B1:C1"/>
    <mergeCell ref="B2:C2"/>
    <mergeCell ref="A4:C4"/>
  </mergeCells>
  <pageMargins left="0.75" right="0.2" top="0.26" bottom="0.27" header="0.26" footer="0.28000000000000003"/>
  <pageSetup scale="93" fitToHeight="0" orientation="portrait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zoomScaleSheetLayoutView="100" workbookViewId="0">
      <selection activeCell="F33" sqref="F33:F35"/>
    </sheetView>
  </sheetViews>
  <sheetFormatPr defaultColWidth="9.109375" defaultRowHeight="13.2"/>
  <cols>
    <col min="1" max="1" width="46.44140625" style="1" bestFit="1" customWidth="1"/>
    <col min="2" max="2" width="25" style="7" customWidth="1"/>
    <col min="3" max="3" width="22.109375" style="7" customWidth="1"/>
    <col min="4" max="4" width="18.77734375" style="7" customWidth="1"/>
    <col min="5" max="5" width="17.109375" style="7" customWidth="1"/>
    <col min="6" max="6" width="20.109375" style="7" customWidth="1"/>
    <col min="7" max="7" width="23.33203125" style="7" customWidth="1"/>
    <col min="8" max="8" width="17.5546875" style="1" customWidth="1"/>
    <col min="9" max="9" width="19.6640625" style="1" customWidth="1"/>
    <col min="10" max="18" width="17.5546875" style="1" customWidth="1"/>
    <col min="19" max="16384" width="9.109375" style="1"/>
  </cols>
  <sheetData>
    <row r="1" spans="1:8">
      <c r="F1" s="118" t="s">
        <v>321</v>
      </c>
      <c r="G1" s="120"/>
    </row>
    <row r="2" spans="1:8">
      <c r="F2" s="118" t="s">
        <v>322</v>
      </c>
      <c r="G2" s="118"/>
    </row>
    <row r="3" spans="1:8">
      <c r="C3" s="8" t="s">
        <v>11</v>
      </c>
      <c r="G3" s="8" t="s">
        <v>264</v>
      </c>
    </row>
    <row r="4" spans="1:8">
      <c r="A4" s="30" t="s">
        <v>343</v>
      </c>
      <c r="B4" s="8"/>
      <c r="D4" s="121" t="str">
        <f>СБД!A6</f>
        <v>2022 оны 12 сарын 31 өдөр</v>
      </c>
      <c r="E4" s="121"/>
      <c r="G4" s="1"/>
    </row>
    <row r="5" spans="1:8">
      <c r="A5" s="1" t="s">
        <v>26</v>
      </c>
      <c r="B5" s="8"/>
      <c r="G5" s="1"/>
    </row>
    <row r="6" spans="1:8">
      <c r="G6" s="11" t="s">
        <v>329</v>
      </c>
    </row>
    <row r="7" spans="1:8" ht="39.6">
      <c r="A7" s="12" t="s">
        <v>0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</row>
    <row r="8" spans="1:8" ht="17.25" customHeight="1">
      <c r="A8" s="3" t="s">
        <v>339</v>
      </c>
      <c r="B8" s="28">
        <v>2735604490</v>
      </c>
      <c r="C8" s="28">
        <v>3694291263.7199998</v>
      </c>
      <c r="D8" s="87">
        <v>976952780.44000006</v>
      </c>
      <c r="E8" s="29"/>
      <c r="F8" s="28">
        <v>3846420861.6799998</v>
      </c>
      <c r="G8" s="28">
        <f>SUM(B8:F8)</f>
        <v>11253269395.84</v>
      </c>
    </row>
    <row r="9" spans="1:8" ht="17.25" customHeight="1">
      <c r="A9" s="21" t="s">
        <v>18</v>
      </c>
      <c r="B9" s="31"/>
      <c r="C9" s="33"/>
      <c r="D9" s="32"/>
      <c r="E9" s="32"/>
      <c r="F9" s="33"/>
      <c r="G9" s="31">
        <f t="shared" ref="G9:G21" si="0">SUM(B9:F9)</f>
        <v>0</v>
      </c>
    </row>
    <row r="10" spans="1:8" ht="17.25" customHeight="1">
      <c r="A10" s="13" t="s">
        <v>19</v>
      </c>
      <c r="B10" s="31">
        <f>+B8+B9</f>
        <v>2735604490</v>
      </c>
      <c r="C10" s="31">
        <f>+C8+C9</f>
        <v>3694291263.7199998</v>
      </c>
      <c r="D10" s="31">
        <f>+D8+D9</f>
        <v>976952780.44000006</v>
      </c>
      <c r="E10" s="31">
        <f>+E8+E9</f>
        <v>0</v>
      </c>
      <c r="F10" s="31">
        <f>+F8+F9</f>
        <v>3846420861.6799998</v>
      </c>
      <c r="G10" s="31">
        <f>SUM(B10:F10)</f>
        <v>11253269395.84</v>
      </c>
    </row>
    <row r="11" spans="1:8" ht="17.25" customHeight="1">
      <c r="A11" s="21" t="s">
        <v>20</v>
      </c>
      <c r="B11" s="31"/>
      <c r="C11" s="32" t="s">
        <v>3</v>
      </c>
      <c r="D11" s="32" t="s">
        <v>3</v>
      </c>
      <c r="E11" s="32" t="s">
        <v>3</v>
      </c>
      <c r="F11" s="32" t="s">
        <v>3</v>
      </c>
      <c r="G11" s="31">
        <f t="shared" si="0"/>
        <v>0</v>
      </c>
    </row>
    <row r="12" spans="1:8" ht="17.25" customHeight="1">
      <c r="A12" s="21" t="s">
        <v>21</v>
      </c>
      <c r="B12" s="31"/>
      <c r="C12" s="32" t="s">
        <v>3</v>
      </c>
      <c r="D12" s="16">
        <v>6076453306.3799992</v>
      </c>
      <c r="E12" s="32" t="s">
        <v>3</v>
      </c>
      <c r="F12" s="32" t="s">
        <v>3</v>
      </c>
      <c r="G12" s="31">
        <f t="shared" si="0"/>
        <v>6076453306.3799992</v>
      </c>
    </row>
    <row r="13" spans="1:8" ht="17.25" customHeight="1">
      <c r="A13" s="21" t="s">
        <v>22</v>
      </c>
      <c r="B13" s="31"/>
      <c r="C13" s="32" t="s">
        <v>3</v>
      </c>
      <c r="D13" s="32" t="s">
        <v>3</v>
      </c>
      <c r="E13" s="32" t="s">
        <v>3</v>
      </c>
      <c r="F13" s="34"/>
      <c r="G13" s="31">
        <f t="shared" si="0"/>
        <v>0</v>
      </c>
    </row>
    <row r="14" spans="1:8" ht="17.25" customHeight="1">
      <c r="A14" s="21" t="s">
        <v>23</v>
      </c>
      <c r="B14" s="31"/>
      <c r="C14" s="32"/>
      <c r="D14" s="32"/>
      <c r="E14" s="32"/>
      <c r="F14" s="16">
        <v>624468986.39999998</v>
      </c>
      <c r="G14" s="31">
        <f t="shared" si="0"/>
        <v>624468986.39999998</v>
      </c>
    </row>
    <row r="15" spans="1:8" ht="17.25" customHeight="1">
      <c r="A15" s="21" t="s">
        <v>24</v>
      </c>
      <c r="B15" s="31"/>
      <c r="C15" s="32"/>
      <c r="D15" s="32"/>
      <c r="E15" s="32"/>
      <c r="F15" s="16">
        <v>3924818178.5900011</v>
      </c>
      <c r="G15" s="31">
        <f t="shared" si="0"/>
        <v>3924818178.5900011</v>
      </c>
    </row>
    <row r="16" spans="1:8" ht="17.25" customHeight="1">
      <c r="A16" s="21" t="s">
        <v>4</v>
      </c>
      <c r="B16" s="33"/>
      <c r="C16" s="32"/>
      <c r="D16" s="32"/>
      <c r="E16" s="32"/>
      <c r="F16" s="16">
        <v>-986472214.28999996</v>
      </c>
      <c r="G16" s="31">
        <f t="shared" si="0"/>
        <v>-986472214.28999996</v>
      </c>
      <c r="H16" s="50"/>
    </row>
    <row r="17" spans="1:10" ht="17.25" customHeight="1">
      <c r="A17" s="21" t="s">
        <v>25</v>
      </c>
      <c r="B17" s="33">
        <v>64395510</v>
      </c>
      <c r="C17" s="16">
        <v>1648331310.3199999</v>
      </c>
      <c r="D17" s="32"/>
      <c r="E17" s="32"/>
      <c r="F17" s="32"/>
      <c r="G17" s="31"/>
      <c r="H17" s="50"/>
    </row>
    <row r="18" spans="1:10" ht="17.25" customHeight="1">
      <c r="A18" s="3" t="s">
        <v>341</v>
      </c>
      <c r="B18" s="28">
        <f>SUM(B10:B17)</f>
        <v>2800000000</v>
      </c>
      <c r="C18" s="28">
        <f>SUM(C10:C17)</f>
        <v>5342622574.04</v>
      </c>
      <c r="D18" s="28">
        <f>SUM(D10:D17)</f>
        <v>7053406086.8199997</v>
      </c>
      <c r="E18" s="28">
        <f>SUM(E10:E17)</f>
        <v>0</v>
      </c>
      <c r="F18" s="28">
        <f>SUM(F10:F17)</f>
        <v>7409235812.3800011</v>
      </c>
      <c r="G18" s="28">
        <f>SUM(B18:F18)</f>
        <v>22605264473.240002</v>
      </c>
      <c r="H18" s="50"/>
      <c r="I18" s="56"/>
      <c r="J18" s="50"/>
    </row>
    <row r="19" spans="1:10" ht="17.25" customHeight="1">
      <c r="A19" s="21" t="s">
        <v>18</v>
      </c>
      <c r="B19" s="33"/>
      <c r="C19" s="16"/>
      <c r="D19" s="16"/>
      <c r="E19" s="16"/>
      <c r="F19" s="16"/>
      <c r="G19" s="31">
        <f t="shared" si="0"/>
        <v>0</v>
      </c>
      <c r="H19" s="50"/>
      <c r="I19" s="51"/>
      <c r="J19" s="50"/>
    </row>
    <row r="20" spans="1:10" ht="17.25" customHeight="1">
      <c r="A20" s="13" t="s">
        <v>19</v>
      </c>
      <c r="B20" s="14">
        <f>+B19+B18</f>
        <v>2800000000</v>
      </c>
      <c r="C20" s="14">
        <f>+C19+C18</f>
        <v>5342622574.04</v>
      </c>
      <c r="D20" s="14">
        <f>+D19+D18</f>
        <v>7053406086.8199997</v>
      </c>
      <c r="E20" s="14">
        <f>+E19+E18</f>
        <v>0</v>
      </c>
      <c r="F20" s="14">
        <f>+F19+F18</f>
        <v>7409235812.3800011</v>
      </c>
      <c r="G20" s="31">
        <f>SUM(B20:F20)</f>
        <v>22605264473.240002</v>
      </c>
      <c r="H20" s="50"/>
    </row>
    <row r="21" spans="1:10" ht="17.25" customHeight="1">
      <c r="A21" s="21" t="s">
        <v>20</v>
      </c>
      <c r="B21" s="16" t="s">
        <v>3</v>
      </c>
      <c r="C21" s="16"/>
      <c r="D21" s="16" t="s">
        <v>3</v>
      </c>
      <c r="E21" s="16" t="s">
        <v>3</v>
      </c>
      <c r="F21" s="16" t="s">
        <v>3</v>
      </c>
      <c r="G21" s="31">
        <f t="shared" si="0"/>
        <v>0</v>
      </c>
    </row>
    <row r="22" spans="1:10" ht="17.25" customHeight="1">
      <c r="A22" s="21" t="s">
        <v>21</v>
      </c>
      <c r="B22" s="16" t="s">
        <v>3</v>
      </c>
      <c r="C22" s="16" t="s">
        <v>3</v>
      </c>
      <c r="D22" s="16">
        <f>+СБД!C140-СБД!B140+F24</f>
        <v>-10365666836.240002</v>
      </c>
      <c r="E22" s="16" t="s">
        <v>3</v>
      </c>
      <c r="F22" s="16"/>
      <c r="G22" s="31">
        <f t="shared" ref="G22:G27" si="1">SUM(B22:F22)</f>
        <v>-10365666836.240002</v>
      </c>
      <c r="H22" s="50"/>
    </row>
    <row r="23" spans="1:10" ht="17.25" customHeight="1">
      <c r="A23" s="21" t="s">
        <v>22</v>
      </c>
      <c r="B23" s="16" t="s">
        <v>3</v>
      </c>
      <c r="C23" s="16" t="s">
        <v>3</v>
      </c>
      <c r="D23" s="16" t="s">
        <v>3</v>
      </c>
      <c r="E23" s="16" t="s">
        <v>3</v>
      </c>
      <c r="F23" s="16" t="s">
        <v>3</v>
      </c>
      <c r="G23" s="31">
        <f t="shared" si="1"/>
        <v>0</v>
      </c>
    </row>
    <row r="24" spans="1:10" ht="17.25" customHeight="1">
      <c r="A24" s="21" t="s">
        <v>23</v>
      </c>
      <c r="B24" s="16" t="s">
        <v>3</v>
      </c>
      <c r="C24" s="16" t="s">
        <v>3</v>
      </c>
      <c r="D24" s="16">
        <f>-F24</f>
        <v>-88868150.959999993</v>
      </c>
      <c r="E24" s="16" t="s">
        <v>3</v>
      </c>
      <c r="F24" s="16">
        <f>41776487.66+47091650.53+12.77</f>
        <v>88868150.959999993</v>
      </c>
      <c r="G24" s="31">
        <f t="shared" si="1"/>
        <v>0</v>
      </c>
    </row>
    <row r="25" spans="1:10" ht="17.25" customHeight="1">
      <c r="A25" s="21" t="s">
        <v>24</v>
      </c>
      <c r="B25" s="16"/>
      <c r="C25" s="16"/>
      <c r="D25" s="16" t="s">
        <v>3</v>
      </c>
      <c r="E25" s="16" t="s">
        <v>3</v>
      </c>
      <c r="F25" s="16">
        <f>+ОДТ!C111</f>
        <v>2059224375.8300009</v>
      </c>
      <c r="G25" s="31">
        <f t="shared" si="1"/>
        <v>2059224375.8300009</v>
      </c>
    </row>
    <row r="26" spans="1:10" ht="17.25" customHeight="1">
      <c r="A26" s="21" t="s">
        <v>4</v>
      </c>
      <c r="B26" s="16" t="s">
        <v>3</v>
      </c>
      <c r="C26" s="16" t="s">
        <v>3</v>
      </c>
      <c r="D26" s="16" t="s">
        <v>3</v>
      </c>
      <c r="E26" s="16" t="s">
        <v>3</v>
      </c>
      <c r="F26" s="16">
        <v>-1259511916.5</v>
      </c>
      <c r="G26" s="116">
        <f t="shared" si="1"/>
        <v>-1259511916.5</v>
      </c>
      <c r="H26" s="50"/>
    </row>
    <row r="27" spans="1:10" ht="17.25" customHeight="1">
      <c r="A27" s="21" t="s">
        <v>25</v>
      </c>
      <c r="B27" s="16">
        <f>+СБД!C135</f>
        <v>-58310</v>
      </c>
      <c r="C27" s="16">
        <f>+СБД!C138-СБД!B138</f>
        <v>10169859.170000076</v>
      </c>
      <c r="D27" s="16"/>
      <c r="E27" s="16" t="s">
        <v>3</v>
      </c>
      <c r="F27" s="16">
        <v>5000000000</v>
      </c>
      <c r="G27" s="116">
        <f t="shared" si="1"/>
        <v>5010111549.1700001</v>
      </c>
    </row>
    <row r="28" spans="1:10" ht="17.25" customHeight="1">
      <c r="A28" s="3" t="s">
        <v>345</v>
      </c>
      <c r="B28" s="25">
        <f>SUM(B20:B27)</f>
        <v>2799941690</v>
      </c>
      <c r="C28" s="25">
        <f>SUM(C20:C27)</f>
        <v>5352792433.21</v>
      </c>
      <c r="D28" s="25">
        <f>SUM(D20:D27)</f>
        <v>-3401128900.380002</v>
      </c>
      <c r="E28" s="25">
        <f>SUM(E20:E27)</f>
        <v>0</v>
      </c>
      <c r="F28" s="25">
        <f>SUM(F20:F27)</f>
        <v>13297816422.670002</v>
      </c>
      <c r="G28" s="28">
        <f>SUM(B28:F28)</f>
        <v>18049421645.5</v>
      </c>
      <c r="H28" s="89"/>
      <c r="I28" s="50"/>
    </row>
    <row r="29" spans="1:10" s="58" customFormat="1">
      <c r="A29" s="58" t="s">
        <v>3</v>
      </c>
      <c r="B29" s="59" t="s">
        <v>3</v>
      </c>
      <c r="C29" s="88">
        <f>+СБД!C138</f>
        <v>5352792433.21</v>
      </c>
      <c r="D29" s="88">
        <f>+СБД!C140</f>
        <v>-3401128900.3800001</v>
      </c>
      <c r="E29" s="59"/>
      <c r="F29" s="88">
        <f>+СБД!C142</f>
        <v>8297816373.4200029</v>
      </c>
      <c r="G29" s="24"/>
    </row>
    <row r="30" spans="1:10">
      <c r="B30" s="23" t="s">
        <v>323</v>
      </c>
      <c r="C30" s="24">
        <f>+C28-C29</f>
        <v>0</v>
      </c>
      <c r="D30" s="88"/>
      <c r="E30" s="23" t="s">
        <v>336</v>
      </c>
      <c r="F30" s="24"/>
      <c r="G30" s="24"/>
    </row>
    <row r="31" spans="1:10">
      <c r="D31" s="59"/>
    </row>
    <row r="32" spans="1:10">
      <c r="B32" s="23" t="s">
        <v>27</v>
      </c>
      <c r="E32" s="23" t="s">
        <v>340</v>
      </c>
    </row>
    <row r="33" spans="7:7">
      <c r="G33" s="1"/>
    </row>
    <row r="34" spans="7:7">
      <c r="G34" s="1"/>
    </row>
    <row r="35" spans="7:7">
      <c r="G35" s="1"/>
    </row>
  </sheetData>
  <mergeCells count="3">
    <mergeCell ref="D4:E4"/>
    <mergeCell ref="F1:G1"/>
    <mergeCell ref="F2:G2"/>
  </mergeCells>
  <conditionalFormatting sqref="D30:D32">
    <cfRule type="cellIs" dxfId="0" priority="1" stopIfTrue="1" operator="lessThan">
      <formula>0</formula>
    </cfRule>
  </conditionalFormatting>
  <pageMargins left="0.27" right="0.27" top="1" bottom="0.51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1"/>
  <sheetViews>
    <sheetView zoomScaleNormal="100" zoomScaleSheetLayoutView="80" workbookViewId="0">
      <pane xSplit="2" ySplit="6" topLeftCell="C48" activePane="bottomRight" state="frozen"/>
      <selection pane="topRight" activeCell="C1" sqref="C1"/>
      <selection pane="bottomLeft" activeCell="A7" sqref="A7"/>
      <selection pane="bottomRight" activeCell="H17" sqref="H17"/>
    </sheetView>
  </sheetViews>
  <sheetFormatPr defaultColWidth="9.109375" defaultRowHeight="13.2"/>
  <cols>
    <col min="1" max="1" width="2.44140625" style="1" customWidth="1"/>
    <col min="2" max="2" width="57.5546875" style="1" customWidth="1"/>
    <col min="3" max="3" width="24.33203125" style="1" customWidth="1"/>
    <col min="4" max="4" width="22.44140625" style="38" customWidth="1"/>
    <col min="5" max="16384" width="9.109375" style="1"/>
  </cols>
  <sheetData>
    <row r="1" spans="2:4">
      <c r="B1" s="35" t="s">
        <v>10</v>
      </c>
      <c r="C1" s="35"/>
      <c r="D1" s="36"/>
    </row>
    <row r="2" spans="2:4">
      <c r="B2" s="35" t="s">
        <v>157</v>
      </c>
      <c r="C2" s="35"/>
      <c r="D2" s="37"/>
    </row>
    <row r="4" spans="2:4">
      <c r="B4" s="1" t="str">
        <f>СБД!A6</f>
        <v>2022 оны 12 сарын 31 өдөр</v>
      </c>
    </row>
    <row r="5" spans="2:4" ht="16.5" customHeight="1">
      <c r="B5" s="12" t="s">
        <v>0</v>
      </c>
      <c r="C5" s="12" t="s">
        <v>337</v>
      </c>
      <c r="D5" s="31" t="s">
        <v>338</v>
      </c>
    </row>
    <row r="6" spans="2:4" s="39" customFormat="1" ht="20.25" customHeight="1">
      <c r="B6" s="47" t="s">
        <v>265</v>
      </c>
      <c r="C6" s="49">
        <f>C7-C26</f>
        <v>3613420896.0500031</v>
      </c>
      <c r="D6" s="49">
        <f>D7-D26</f>
        <v>-2500678422.230011</v>
      </c>
    </row>
    <row r="7" spans="2:4">
      <c r="B7" s="3" t="s">
        <v>266</v>
      </c>
      <c r="C7" s="5">
        <f>+SUM(C8:C25)</f>
        <v>125775755998.41</v>
      </c>
      <c r="D7" s="5">
        <f>+SUM(D8:D25)</f>
        <v>144477133537.38</v>
      </c>
    </row>
    <row r="8" spans="2:4">
      <c r="B8" s="15" t="s">
        <v>267</v>
      </c>
      <c r="C8" s="40">
        <v>8151283889</v>
      </c>
      <c r="D8" s="63">
        <v>11788784656</v>
      </c>
    </row>
    <row r="9" spans="2:4">
      <c r="B9" s="15" t="s">
        <v>268</v>
      </c>
      <c r="C9" s="40">
        <v>55484419.619999997</v>
      </c>
      <c r="D9" s="63">
        <v>15706.3</v>
      </c>
    </row>
    <row r="10" spans="2:4">
      <c r="B10" s="15" t="s">
        <v>269</v>
      </c>
      <c r="C10" s="40"/>
      <c r="D10" s="63"/>
    </row>
    <row r="11" spans="2:4">
      <c r="B11" s="15" t="s">
        <v>270</v>
      </c>
      <c r="C11" s="40">
        <v>18468.64</v>
      </c>
      <c r="D11" s="63"/>
    </row>
    <row r="12" spans="2:4">
      <c r="B12" s="15" t="s">
        <v>271</v>
      </c>
      <c r="C12" s="40"/>
      <c r="D12" s="63"/>
    </row>
    <row r="13" spans="2:4">
      <c r="B13" s="15" t="s">
        <v>272</v>
      </c>
      <c r="C13" s="40"/>
      <c r="D13" s="63"/>
    </row>
    <row r="14" spans="2:4">
      <c r="B14" s="15" t="s">
        <v>273</v>
      </c>
      <c r="C14" s="40">
        <v>15239468.92</v>
      </c>
      <c r="D14" s="63">
        <f>+ОДТ!C28</f>
        <v>360405308.49000001</v>
      </c>
    </row>
    <row r="15" spans="2:4">
      <c r="B15" s="15" t="s">
        <v>325</v>
      </c>
      <c r="C15" s="40">
        <v>1797060016.8800001</v>
      </c>
      <c r="D15" s="63"/>
    </row>
    <row r="16" spans="2:4">
      <c r="B16" s="15" t="s">
        <v>274</v>
      </c>
      <c r="C16" s="40"/>
      <c r="D16" s="63">
        <f>+ОДТ!C31</f>
        <v>727167495.69000006</v>
      </c>
    </row>
    <row r="17" spans="2:4">
      <c r="B17" s="15" t="s">
        <v>275</v>
      </c>
      <c r="C17" s="40"/>
      <c r="D17" s="63"/>
    </row>
    <row r="18" spans="2:4">
      <c r="B18" s="15" t="s">
        <v>276</v>
      </c>
      <c r="C18" s="40">
        <v>44428923524.300003</v>
      </c>
      <c r="D18" s="63">
        <v>13683046018</v>
      </c>
    </row>
    <row r="19" spans="2:4">
      <c r="B19" s="15" t="s">
        <v>277</v>
      </c>
      <c r="C19" s="40">
        <v>850295667.77999997</v>
      </c>
      <c r="D19" s="63">
        <v>5054884851.6099997</v>
      </c>
    </row>
    <row r="20" spans="2:4">
      <c r="B20" s="15" t="s">
        <v>278</v>
      </c>
      <c r="C20" s="40"/>
      <c r="D20" s="63"/>
    </row>
    <row r="21" spans="2:4" ht="15" customHeight="1">
      <c r="B21" s="15" t="s">
        <v>279</v>
      </c>
      <c r="C21" s="40">
        <v>149555164.94999999</v>
      </c>
      <c r="D21" s="63"/>
    </row>
    <row r="22" spans="2:4">
      <c r="B22" s="15" t="s">
        <v>280</v>
      </c>
      <c r="C22" s="40"/>
      <c r="D22" s="63"/>
    </row>
    <row r="23" spans="2:4" ht="21.6" customHeight="1">
      <c r="B23" s="15" t="s">
        <v>281</v>
      </c>
      <c r="C23" s="40">
        <v>290534293.31999999</v>
      </c>
      <c r="D23" s="63">
        <f>2357485239+626199007.83+[1]GL!$F$445+[1]GL!$F$446+[1]GL!$F$447+[1]GL!$F$448</f>
        <v>2763557148.29</v>
      </c>
    </row>
    <row r="24" spans="2:4">
      <c r="B24" s="15" t="s">
        <v>282</v>
      </c>
      <c r="C24" s="40"/>
      <c r="D24" s="63"/>
    </row>
    <row r="25" spans="2:4">
      <c r="B25" s="15" t="s">
        <v>283</v>
      </c>
      <c r="C25" s="40">
        <v>70037361085</v>
      </c>
      <c r="D25" s="40">
        <f>95763020353+6886000000+7450252000</f>
        <v>110099272353</v>
      </c>
    </row>
    <row r="26" spans="2:4">
      <c r="B26" s="3" t="s">
        <v>284</v>
      </c>
      <c r="C26" s="4">
        <f>+SUM(C27:C49)</f>
        <v>122162335102.36</v>
      </c>
      <c r="D26" s="4">
        <f>+SUM(D27:D49)</f>
        <v>146977811959.61002</v>
      </c>
    </row>
    <row r="27" spans="2:4" ht="12.75" customHeight="1">
      <c r="B27" s="15" t="s">
        <v>285</v>
      </c>
      <c r="C27" s="42">
        <v>217997260.27000001</v>
      </c>
      <c r="D27" s="42">
        <v>1227780958.9000001</v>
      </c>
    </row>
    <row r="28" spans="2:4">
      <c r="B28" s="43" t="s">
        <v>286</v>
      </c>
      <c r="C28" s="42">
        <v>290103349</v>
      </c>
      <c r="D28" s="42">
        <v>824298930</v>
      </c>
    </row>
    <row r="29" spans="2:4">
      <c r="B29" s="43" t="s">
        <v>287</v>
      </c>
      <c r="C29" s="42">
        <v>465501171.64999998</v>
      </c>
      <c r="D29" s="64">
        <v>626720371.65999997</v>
      </c>
    </row>
    <row r="30" spans="2:4">
      <c r="B30" s="43" t="s">
        <v>288</v>
      </c>
      <c r="C30" s="42"/>
      <c r="D30" s="64"/>
    </row>
    <row r="31" spans="2:4">
      <c r="B31" s="43" t="s">
        <v>289</v>
      </c>
      <c r="C31" s="42">
        <v>759902657.74000001</v>
      </c>
      <c r="D31" s="64">
        <v>795650822.5</v>
      </c>
    </row>
    <row r="32" spans="2:4">
      <c r="B32" s="43" t="s">
        <v>290</v>
      </c>
      <c r="C32" s="42">
        <v>2798600</v>
      </c>
      <c r="D32" s="64">
        <v>4487049.62</v>
      </c>
    </row>
    <row r="33" spans="2:4">
      <c r="B33" s="15" t="s">
        <v>291</v>
      </c>
      <c r="C33" s="44">
        <v>236552096.44999999</v>
      </c>
      <c r="D33" s="65">
        <v>269028705.81999999</v>
      </c>
    </row>
    <row r="34" spans="2:4">
      <c r="B34" s="15" t="s">
        <v>292</v>
      </c>
      <c r="C34" s="40">
        <v>28545173.460000001</v>
      </c>
      <c r="D34" s="63">
        <v>38894261.960000001</v>
      </c>
    </row>
    <row r="35" spans="2:4">
      <c r="B35" s="15" t="s">
        <v>293</v>
      </c>
      <c r="C35" s="40"/>
      <c r="D35" s="66">
        <v>14001256.98</v>
      </c>
    </row>
    <row r="36" spans="2:4">
      <c r="B36" s="15" t="s">
        <v>294</v>
      </c>
      <c r="C36" s="61">
        <v>37969001</v>
      </c>
      <c r="D36" s="67">
        <f>18986693+6540644.03+15092000+5639145</f>
        <v>46258482.030000001</v>
      </c>
    </row>
    <row r="37" spans="2:4">
      <c r="B37" s="15" t="s">
        <v>295</v>
      </c>
      <c r="C37" s="40">
        <v>32122370</v>
      </c>
      <c r="D37" s="65">
        <f>+'[2]Dot dans'!$F$384+'[2]Dot dans'!$F$350+'[2]Dot dans'!$F$351+'[2]Dot dans'!$F$352</f>
        <v>130891</v>
      </c>
    </row>
    <row r="38" spans="2:4">
      <c r="B38" s="15" t="s">
        <v>296</v>
      </c>
      <c r="C38" s="40">
        <v>1125260340.9300001</v>
      </c>
      <c r="D38" s="63">
        <f>269028705.82+697557275.6</f>
        <v>966585981.42000008</v>
      </c>
    </row>
    <row r="39" spans="2:4">
      <c r="B39" s="15" t="s">
        <v>297</v>
      </c>
      <c r="C39" s="40">
        <v>339662297.41000003</v>
      </c>
      <c r="D39" s="63">
        <f>4456776.76+'[2]Dot dans'!$F$345+'[2]Dot dans'!$F$346+'[2]Dot dans'!$F$347+'[2]Dot dans'!$F$348</f>
        <v>4631478.76</v>
      </c>
    </row>
    <row r="40" spans="2:4" ht="26.4">
      <c r="B40" s="15" t="s">
        <v>298</v>
      </c>
      <c r="C40" s="40">
        <v>829110.6</v>
      </c>
      <c r="D40" s="63"/>
    </row>
    <row r="41" spans="2:4" ht="26.4">
      <c r="B41" s="15" t="s">
        <v>299</v>
      </c>
      <c r="C41" s="40">
        <v>26273009.359999999</v>
      </c>
      <c r="D41" s="40">
        <v>20020879</v>
      </c>
    </row>
    <row r="42" spans="2:4" ht="26.4">
      <c r="B42" s="15" t="s">
        <v>300</v>
      </c>
      <c r="C42" s="40"/>
      <c r="D42" s="40"/>
    </row>
    <row r="43" spans="2:4" ht="13.5" customHeight="1">
      <c r="B43" s="15" t="s">
        <v>301</v>
      </c>
      <c r="C43" s="40">
        <v>23449976997.66</v>
      </c>
      <c r="D43" s="40">
        <v>18290389358.950001</v>
      </c>
    </row>
    <row r="44" spans="2:4" ht="13.5" customHeight="1">
      <c r="B44" s="15" t="s">
        <v>302</v>
      </c>
      <c r="C44" s="40"/>
      <c r="D44" s="40"/>
    </row>
    <row r="45" spans="2:4" ht="13.5" customHeight="1">
      <c r="B45" s="15" t="s">
        <v>303</v>
      </c>
      <c r="C45" s="40">
        <v>706223142.08000004</v>
      </c>
      <c r="D45" s="40">
        <f>+'[2]Dot dans'!$F$315+'[2]Dot dans'!$F$316+[3]Sheet1!$E$19</f>
        <v>87408</v>
      </c>
    </row>
    <row r="46" spans="2:4">
      <c r="B46" s="15" t="s">
        <v>304</v>
      </c>
      <c r="C46" s="40">
        <v>21940000</v>
      </c>
      <c r="D46" s="40">
        <f>+ОДТ!C72</f>
        <v>28657422</v>
      </c>
    </row>
    <row r="47" spans="2:4">
      <c r="B47" s="15" t="s">
        <v>305</v>
      </c>
      <c r="C47" s="40">
        <v>904655071.97000003</v>
      </c>
      <c r="D47" s="40">
        <v>1160508417.28</v>
      </c>
    </row>
    <row r="48" spans="2:4">
      <c r="B48" s="15" t="s">
        <v>306</v>
      </c>
      <c r="C48" s="40"/>
      <c r="D48" s="40"/>
    </row>
    <row r="49" spans="2:4">
      <c r="B49" s="15" t="s">
        <v>307</v>
      </c>
      <c r="C49" s="45">
        <v>93516023452.779999</v>
      </c>
      <c r="D49" s="45">
        <f>107044162404.66+15496759000+118575879.07+182000</f>
        <v>122659679283.73001</v>
      </c>
    </row>
    <row r="50" spans="2:4" s="39" customFormat="1" ht="20.25" customHeight="1">
      <c r="B50" s="47" t="s">
        <v>308</v>
      </c>
      <c r="C50" s="48">
        <f>+C51-C56</f>
        <v>93013905.24000001</v>
      </c>
      <c r="D50" s="48">
        <f>+D51-D56</f>
        <v>572229580.9000001</v>
      </c>
    </row>
    <row r="51" spans="2:4">
      <c r="B51" s="3" t="s">
        <v>309</v>
      </c>
      <c r="C51" s="6">
        <f>SUM(C52:C55)</f>
        <v>385046828.67000002</v>
      </c>
      <c r="D51" s="6">
        <f>SUM(D52:D55)</f>
        <v>572316519.9000001</v>
      </c>
    </row>
    <row r="52" spans="2:4">
      <c r="B52" s="15" t="s">
        <v>310</v>
      </c>
      <c r="C52" s="40"/>
      <c r="D52" s="40"/>
    </row>
    <row r="53" spans="2:4">
      <c r="B53" s="15" t="s">
        <v>311</v>
      </c>
      <c r="C53" s="40">
        <v>15164919.15</v>
      </c>
      <c r="D53" s="40">
        <v>25102879.199999999</v>
      </c>
    </row>
    <row r="54" spans="2:4">
      <c r="B54" s="15" t="s">
        <v>312</v>
      </c>
      <c r="C54" s="40">
        <v>15971696.02</v>
      </c>
      <c r="D54" s="40"/>
    </row>
    <row r="55" spans="2:4">
      <c r="B55" s="15" t="s">
        <v>313</v>
      </c>
      <c r="C55" s="40">
        <v>353910213.5</v>
      </c>
      <c r="D55" s="40">
        <v>547213640.70000005</v>
      </c>
    </row>
    <row r="56" spans="2:4">
      <c r="B56" s="3" t="s">
        <v>314</v>
      </c>
      <c r="C56" s="4">
        <f>+SUM(C57:C59)</f>
        <v>292032923.43000001</v>
      </c>
      <c r="D56" s="4">
        <f>+SUM(D57:D59)</f>
        <v>86939</v>
      </c>
    </row>
    <row r="57" spans="2:4">
      <c r="B57" s="15" t="s">
        <v>315</v>
      </c>
      <c r="C57" s="40">
        <v>61286850.189999998</v>
      </c>
      <c r="D57" s="40">
        <f>+'[2]Dot dans'!$F$362</f>
        <v>43627</v>
      </c>
    </row>
    <row r="58" spans="2:4">
      <c r="B58" s="15" t="s">
        <v>316</v>
      </c>
      <c r="C58" s="40">
        <v>10102060</v>
      </c>
      <c r="D58" s="40"/>
    </row>
    <row r="59" spans="2:4">
      <c r="B59" s="15" t="s">
        <v>317</v>
      </c>
      <c r="C59" s="40">
        <v>220644013.24000001</v>
      </c>
      <c r="D59" s="40">
        <f>+'[2]Dot dans'!$F$363</f>
        <v>43312</v>
      </c>
    </row>
    <row r="60" spans="2:4">
      <c r="B60" s="13" t="s">
        <v>318</v>
      </c>
      <c r="C60" s="41">
        <f>+C6+C50</f>
        <v>3706434801.2900028</v>
      </c>
      <c r="D60" s="41">
        <f>+D6+D50</f>
        <v>-1928448841.3300109</v>
      </c>
    </row>
    <row r="61" spans="2:4">
      <c r="B61" s="13" t="s">
        <v>319</v>
      </c>
      <c r="C61" s="46">
        <v>3249681591.5600004</v>
      </c>
      <c r="D61" s="46">
        <f>+СБД!B11</f>
        <v>6956116392.8499994</v>
      </c>
    </row>
    <row r="62" spans="2:4">
      <c r="B62" s="13" t="s">
        <v>320</v>
      </c>
      <c r="C62" s="46">
        <v>6956116392.8499994</v>
      </c>
      <c r="D62" s="46">
        <f>+СБД!C11</f>
        <v>5027667551.5199995</v>
      </c>
    </row>
    <row r="63" spans="2:4">
      <c r="B63" s="55"/>
      <c r="C63" s="55"/>
    </row>
    <row r="64" spans="2:4">
      <c r="B64" s="1" t="s">
        <v>323</v>
      </c>
      <c r="D64" s="23" t="s">
        <v>336</v>
      </c>
    </row>
    <row r="65" spans="2:4">
      <c r="D65" s="7"/>
    </row>
    <row r="66" spans="2:4">
      <c r="B66" s="1" t="s">
        <v>27</v>
      </c>
      <c r="D66" s="23" t="s">
        <v>340</v>
      </c>
    </row>
    <row r="70" spans="2:4">
      <c r="D70" s="7"/>
    </row>
    <row r="71" spans="2:4">
      <c r="D71" s="7"/>
    </row>
  </sheetData>
  <pageMargins left="1" right="0.24" top="0.72" bottom="0.39" header="0.66" footer="0.25"/>
  <pageSetup paperSize="9" scale="7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СБД</vt:lpstr>
      <vt:lpstr>ОДТ</vt:lpstr>
      <vt:lpstr>ӨӨТ</vt:lpstr>
      <vt:lpstr>МГТ</vt:lpstr>
      <vt:lpstr>МГТ!Print_Area</vt:lpstr>
      <vt:lpstr>ОДТ!Print_Area</vt:lpstr>
      <vt:lpstr>ӨӨТ!Print_Area</vt:lpstr>
      <vt:lpstr>СБД!Print_Area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2023-05-11T07:31:35Z</cp:lastPrinted>
  <dcterms:created xsi:type="dcterms:W3CDTF">2013-04-10T10:24:36Z</dcterms:created>
  <dcterms:modified xsi:type="dcterms:W3CDTF">2023-05-30T07:56:25Z</dcterms:modified>
</cp:coreProperties>
</file>