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balance sheet" sheetId="1" r:id="rId1"/>
    <sheet name="income statement" sheetId="2" r:id="rId2"/>
    <sheet name="owner's equity" sheetId="3" r:id="rId3"/>
    <sheet name="cashflow" sheetId="4" r:id="rId4"/>
    <sheet name="ct03." sheetId="5" state="hidden" r:id="rId5"/>
    <sheet name="ӨӨТ" sheetId="6" state="hidden" r:id="rId6"/>
    <sheet name="Sheet3" sheetId="7" state="hidden" r:id="rId7"/>
    <sheet name="Sheet2" sheetId="8" state="hidden" r:id="rId8"/>
    <sheet name="CT-4" sheetId="9" state="hidden" r:id="rId9"/>
    <sheet name="1-2" sheetId="10" state="hidden" r:id="rId10"/>
    <sheet name="Sheet1" sheetId="11" state="hidden" r:id="rId11"/>
    <sheet name="1-4 (2)" sheetId="12" state="hidden" r:id="rId12"/>
    <sheet name="5-8 (2)" sheetId="13" state="hidden" r:id="rId13"/>
    <sheet name="9 (2)" sheetId="14" state="hidden" r:id="rId14"/>
    <sheet name="9.2" sheetId="15" state="hidden" r:id="rId15"/>
    <sheet name="Sheet5" sheetId="16" state="hidden" r:id="rId16"/>
    <sheet name="11-13 (2)" sheetId="17" state="hidden" r:id="rId17"/>
    <sheet name="14-16,5 (2)" sheetId="18" state="hidden" r:id="rId18"/>
    <sheet name="16,6-19,3 (2)" sheetId="19" state="hidden" r:id="rId19"/>
    <sheet name="20-22,3 (2)" sheetId="20" state="hidden" r:id="rId20"/>
    <sheet name="22,4 (2)" sheetId="21" state="hidden" r:id="rId21"/>
    <sheet name="1-4" sheetId="22" state="hidden" r:id="rId22"/>
    <sheet name="5-8" sheetId="23" state="hidden" r:id="rId23"/>
    <sheet name="9" sheetId="24" state="hidden" r:id="rId24"/>
    <sheet name="11-13" sheetId="25" state="hidden" r:id="rId25"/>
    <sheet name="14-16,5" sheetId="26" state="hidden" r:id="rId26"/>
    <sheet name="16,6-19,3" sheetId="27" state="hidden" r:id="rId27"/>
    <sheet name="20-22,3" sheetId="28" state="hidden" r:id="rId28"/>
    <sheet name="22,4" sheetId="29" state="hidden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ftn1" localSheetId="0">'balance sheet'!#REF!</definedName>
    <definedName name="_ftn2" localSheetId="0">'balance sheet'!#REF!</definedName>
    <definedName name="_ftn3" localSheetId="26">'16,6-19,3'!#REF!</definedName>
    <definedName name="_ftn3" localSheetId="18">'16,6-19,3 (2)'!#REF!</definedName>
    <definedName name="_ftn4" localSheetId="26">'16,6-19,3'!#REF!</definedName>
    <definedName name="_ftn4" localSheetId="18">'16,6-19,3 (2)'!#REF!</definedName>
    <definedName name="_ftn5" localSheetId="26">'16,6-19,3'!#REF!</definedName>
    <definedName name="_ftn5" localSheetId="18">'16,6-19,3 (2)'!#REF!</definedName>
    <definedName name="_ftnref1" localSheetId="0">'balance sheet'!#REF!</definedName>
    <definedName name="_ftnref2" localSheetId="0">'balance sheet'!#REF!</definedName>
    <definedName name="_ftnref3" localSheetId="26">'16,6-19,3'!$C$57</definedName>
    <definedName name="_ftnref3" localSheetId="18">'16,6-19,3 (2)'!$C$57</definedName>
    <definedName name="_ftnref4" localSheetId="26">'16,6-19,3'!#REF!</definedName>
    <definedName name="_ftnref4" localSheetId="18">'16,6-19,3 (2)'!#REF!</definedName>
    <definedName name="_ftnref5" localSheetId="26">'16,6-19,3'!#REF!</definedName>
    <definedName name="_ftnref5" localSheetId="18">'16,6-19,3 (2)'!#REF!</definedName>
    <definedName name="a" localSheetId="24">#REF!</definedName>
    <definedName name="a" localSheetId="16">#REF!</definedName>
    <definedName name="a" localSheetId="9">#REF!</definedName>
    <definedName name="a" localSheetId="11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12">#REF!</definedName>
    <definedName name="a" localSheetId="13">#REF!</definedName>
    <definedName name="a" localSheetId="3">#REF!</definedName>
    <definedName name="a" localSheetId="4">#REF!</definedName>
    <definedName name="a" localSheetId="8">#REF!</definedName>
    <definedName name="a" localSheetId="2">#REF!</definedName>
    <definedName name="a">#REF!</definedName>
    <definedName name="amralt">#REF!</definedName>
    <definedName name="Animal">'[1]Wetheadings'!$D$2:$D$15</definedName>
    <definedName name="Article">'[1]Wetheadings'!$B$2:$B$20</definedName>
    <definedName name="bbbbb">#REF!</definedName>
    <definedName name="card">'[2]medeelel'!$C$5:$C$16</definedName>
    <definedName name="Catagory">'[1]Wetheadings'!$P$2:$P$8</definedName>
    <definedName name="Colour">'[1]Wetheadings'!$I$2:$I$19</definedName>
    <definedName name="Country">'[1]Wetheadings'!$N$2:$N$129</definedName>
    <definedName name="Customer">'[1]Wetheadings'!$M$2:$M$19</definedName>
    <definedName name="database_entry">#REF!</definedName>
    <definedName name="dgdhdxgh">#REF!</definedName>
    <definedName name="dgffgsga" localSheetId="16">#REF!</definedName>
    <definedName name="dgffgsga" localSheetId="9">#REF!</definedName>
    <definedName name="dgffgsga" localSheetId="11">#REF!</definedName>
    <definedName name="dgffgsga" localSheetId="17">#REF!</definedName>
    <definedName name="dgffgsga" localSheetId="18">#REF!</definedName>
    <definedName name="dgffgsga" localSheetId="19">#REF!</definedName>
    <definedName name="dgffgsga" localSheetId="20">#REF!</definedName>
    <definedName name="dgffgsga" localSheetId="12">#REF!</definedName>
    <definedName name="dgffgsga" localSheetId="13">#REF!</definedName>
    <definedName name="dgffgsga" localSheetId="2">#REF!</definedName>
    <definedName name="dgffgsga">#REF!</definedName>
    <definedName name="ehleh_ognoo">#REF!</definedName>
    <definedName name="floating_record">#REF!</definedName>
    <definedName name="general_note">'[1]Wetheadings'!$J$2:$J$15</definedName>
    <definedName name="ghdshfshs">#REF!</definedName>
    <definedName name="grain">'[1]Wetheadings'!$G$2:$G$11</definedName>
    <definedName name="gsdhfhsf">#REF!</definedName>
    <definedName name="hhhh">#REF!</definedName>
    <definedName name="l">#REF!</definedName>
    <definedName name="Name_1">'[3]LF Madu'!$K$14:$K$31</definedName>
    <definedName name="Name_2">'[3]Sport finish British tan'!$K$14:$K$38</definedName>
    <definedName name="Name_3">'[3]Glossy flanks'!$K$14:$K$38</definedName>
    <definedName name="Name_4">'[3]Antique glossy'!$K$14:$K$38</definedName>
    <definedName name="Periods">'[4]хангамж мэдээ 2015'!$D$28:$O$28</definedName>
    <definedName name="product_note">'[5]Wetheadings'!$K$2:$K$6</definedName>
    <definedName name="result">'[1]Wetheadings'!$Q$2:$Q$7</definedName>
    <definedName name="ScrollBarValue">'[4]chart_calcs'!$D$13</definedName>
    <definedName name="sdfsdhsh">#REF!</definedName>
    <definedName name="SelectedPeriod">INDEX([0]!Periods,,[0]!ScrollBarValue)</definedName>
    <definedName name="SelectedPeriodCashFlowNegative">#N/A</definedName>
    <definedName name="SelectedPeriodCashFlowPositive">#N/A</definedName>
    <definedName name="SelectedPeriodColumn">#N/A</definedName>
    <definedName name="SelectedPeriodIsFunded">INDEX('[4]хангамж мэдээ 2015'!$D$39:$O$39,,[0]!SelectedPeriodColumn)&gt;=INDEX('[4]хангамж мэдээ 2015'!$D$67:$O$67,,[0]!SelectedPeriodColumn)</definedName>
    <definedName name="SelectedStartMonth">'[4]хангамж мэдээ 2015'!#REF!</definedName>
    <definedName name="source">'[1]Wetheadings'!$E$2:$E$14</definedName>
    <definedName name="Style">'[1]Wetheadings'!$C$2:$C$8</definedName>
    <definedName name="tannage">'[1]Wetheadings'!$F$2:$F$10</definedName>
    <definedName name="technician">'[1]Wetheadings'!$O$2:$O$11</definedName>
    <definedName name="thickness">'[1]Wetheadings'!$H$2:$H$27</definedName>
    <definedName name="Total_1">'[3]LF Madu'!$Q$14:$Q$31</definedName>
    <definedName name="Total_2">'[3]Sport finish British tan'!$Q$14:$Q$38</definedName>
    <definedName name="Total_3">'[3]Glossy flanks'!$Q$14:$Q$38</definedName>
    <definedName name="Total_4">'[3]Antique glossy'!$Q$14:$Q$38</definedName>
    <definedName name="Tulburiin_daraalal">#REF!</definedName>
    <definedName name="vcvzzxdagah">#REF!</definedName>
    <definedName name="working_method">'[1]Wetheadings'!$L$2:$L$11</definedName>
    <definedName name="xfdsaf">#REF!</definedName>
    <definedName name="Нэгтгэл">#REF!</definedName>
    <definedName name="өайыаы">#REF!</definedName>
    <definedName name="өыаужаэжхух">#REF!</definedName>
    <definedName name="ссөйөыйб">#REF!</definedName>
    <definedName name="ХӨББХБЫ">#REF!</definedName>
  </definedNames>
  <calcPr fullCalcOnLoad="1"/>
</workbook>
</file>

<file path=xl/sharedStrings.xml><?xml version="1.0" encoding="utf-8"?>
<sst xmlns="http://schemas.openxmlformats.org/spreadsheetml/2006/main" count="2553" uniqueCount="893">
  <si>
    <t>( Аж ахуйн нэгжийн нэр )</t>
  </si>
  <si>
    <t>(төгрөгөөр)</t>
  </si>
  <si>
    <t>Мөрийн дугаар</t>
  </si>
  <si>
    <t>Дансны авлага</t>
  </si>
  <si>
    <t>Эргэлтийн хөрөнгийн дүн</t>
  </si>
  <si>
    <t>Биет бус хөрөнгө</t>
  </si>
  <si>
    <t>Биологийн хөрөнгө</t>
  </si>
  <si>
    <t>Äóóñààã¿é áàðèëãà</t>
  </si>
  <si>
    <t>Эргэлтийн бус хөрөнгийн дүн</t>
  </si>
  <si>
    <t>Богино хугацаат өр төлбөрийн дүн</t>
  </si>
  <si>
    <t>Урт хугацаат өр төлбөрийн дүн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</si>
  <si>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</si>
  <si>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</si>
  <si>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</si>
  <si>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</si>
  <si>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</si>
  <si>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</si>
  <si>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Íèéãìèéí õºãæëèéí ñàí</t>
  </si>
  <si>
    <t xml:space="preserve">                Ерөнхий нягтлан бодогч      ___________________ (..............................)</t>
  </si>
  <si>
    <t>Үзүүлэлт</t>
  </si>
  <si>
    <t>ªìíºõ îíû ä¿í</t>
  </si>
  <si>
    <t>Түрээсийн орлого</t>
  </si>
  <si>
    <t>Тайлант үеийн цэвэр ашиг (алдагдал)</t>
  </si>
  <si>
    <t>Бусад дэлгэрэнгүй орлого</t>
  </si>
  <si>
    <t>Орлогын нийт дүн</t>
  </si>
  <si>
    <t xml:space="preserve">                   ҮЗҮҮЛЭЛТ</t>
  </si>
  <si>
    <t>Òàéëàíò æèëèéí ä¿í</t>
  </si>
  <si>
    <t>Үндсэн үйл ажиллагааны мөнгөн гүйлгээ</t>
  </si>
  <si>
    <t>Мөнгөн орлогын дүн (+)</t>
  </si>
  <si>
    <t>1,1,1</t>
  </si>
  <si>
    <t>Бараа борлуулсан, үйлчилгээ үзүүлсний орлого</t>
  </si>
  <si>
    <t>1,1,2</t>
  </si>
  <si>
    <t>Эрхийн шимтгэл, хураамж, төлбөрийн орлого</t>
  </si>
  <si>
    <t>1,1,3</t>
  </si>
  <si>
    <t>Даатгалын нөхвөрөөс хүлээн авсан мөнгө</t>
  </si>
  <si>
    <t>1,1,4</t>
  </si>
  <si>
    <t>Буцаан авсан албан татвар</t>
  </si>
  <si>
    <t>1,1,5</t>
  </si>
  <si>
    <t>Татаас, санхүүжилтийн орлого</t>
  </si>
  <si>
    <t>1,1,6</t>
  </si>
  <si>
    <t>Бусад мөнгөн орлого</t>
  </si>
  <si>
    <t>Мөнгөн зарлагын дүн (-)</t>
  </si>
  <si>
    <t>1,2,1</t>
  </si>
  <si>
    <t xml:space="preserve">      Ажиллагчдад төлсөн</t>
  </si>
  <si>
    <t>1,2,2</t>
  </si>
  <si>
    <t xml:space="preserve">      Нийгмийн даатгалын байгууллагад төлсөн</t>
  </si>
  <si>
    <t>1,2,3</t>
  </si>
  <si>
    <t xml:space="preserve">      Бараа материал худалдан авахад төлсөн</t>
  </si>
  <si>
    <t>1,2,4</t>
  </si>
  <si>
    <t xml:space="preserve">      Ашиглалтын зардалд төлсөн</t>
  </si>
  <si>
    <t>1,2,5</t>
  </si>
  <si>
    <t xml:space="preserve">      Түлш шатахуун, тээврийн хөлс, сэлбэг хэрэгсэлд төлсөн</t>
  </si>
  <si>
    <t>1,2,6</t>
  </si>
  <si>
    <t xml:space="preserve">      Хүүний төлбөрт төлсөн</t>
  </si>
  <si>
    <t>1,2,7</t>
  </si>
  <si>
    <t xml:space="preserve">      Татварын байгууллагад төлсөн</t>
  </si>
  <si>
    <t>1,2,8</t>
  </si>
  <si>
    <t xml:space="preserve">      Даатгалын төлбөрт төлсөн</t>
  </si>
  <si>
    <t>1,2,9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</si>
  <si>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</si>
  <si>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</si>
  <si>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</si>
  <si>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2,1,2</t>
  </si>
  <si>
    <t xml:space="preserve">      Үндсэн хөрөнгө борлуулсны орлого</t>
  </si>
  <si>
    <t>2,1,3</t>
  </si>
  <si>
    <t xml:space="preserve">      Биет бус хөрөнгө борлуулсны орлого</t>
  </si>
  <si>
    <t>2,1,4</t>
  </si>
  <si>
    <t xml:space="preserve">      Хөрөнгө оруулалт борлуулсны орлого</t>
  </si>
  <si>
    <t>2,1,5</t>
  </si>
  <si>
    <t xml:space="preserve">      Бусад урт хугацаат хөрөнгө борлуулсны орлого</t>
  </si>
  <si>
    <t>2,1,6</t>
  </si>
  <si>
    <t xml:space="preserve">      Бусдад олгосон зээл, мөнгөн урьдчилгааны буцаан төлөлт</t>
  </si>
  <si>
    <t>2,1,7</t>
  </si>
  <si>
    <t xml:space="preserve">      Хүлээн авсан хүүний орлого</t>
  </si>
  <si>
    <t>2,1,8</t>
  </si>
  <si>
    <t xml:space="preserve">      Хүлээн авсан ногдол ашиг</t>
  </si>
  <si>
    <t>2,1,9</t>
  </si>
  <si>
    <t>Áàíêíààñ àâñàí çýýë</t>
  </si>
  <si>
    <t>2,2,1</t>
  </si>
  <si>
    <t>Үндсэн хөрөнгө олж эзэмшихэд төлсөн</t>
  </si>
  <si>
    <t>2,2,2</t>
  </si>
  <si>
    <t>Биет бус хөрөнгө олж эзэмшихэд төлсөн</t>
  </si>
  <si>
    <t>2,2,3</t>
  </si>
  <si>
    <t>Хөрөнгө оруулалт олж эзэмшихэд төлсөн</t>
  </si>
  <si>
    <t>2,2,4</t>
  </si>
  <si>
    <t>Бусад урт хугацаат хөрөнгө олж эзэмшихэд төлсөн</t>
  </si>
  <si>
    <t>2,2,5</t>
  </si>
  <si>
    <t>Бусдад олгосон зээл болон урьдчилгаа</t>
  </si>
  <si>
    <t>2,2,6</t>
  </si>
  <si>
    <t>Хөрөнгө оруулалтын үйл ажиллагааны цэвэр мөнгөн гүйлгээний дүн</t>
  </si>
  <si>
    <t>Санхүүгийн үйл ажиллагааны мөнгөн гүйлгээ</t>
  </si>
  <si>
    <t>3,1,2</t>
  </si>
  <si>
    <t>Зээл авсан , өрийн үнэт цаас гаргаснаас хүлээн авсан</t>
  </si>
  <si>
    <t>3,1,3</t>
  </si>
  <si>
    <t>Хувьцаа болон өмчийн бусад үнэт цаас гаргаснаас хүлээн авсан</t>
  </si>
  <si>
    <t>3,1,5</t>
  </si>
  <si>
    <t>3,2,1</t>
  </si>
  <si>
    <t>Зээл, өрийн үнэт цаасны төлбөрт төлсөн</t>
  </si>
  <si>
    <t>3,2,2</t>
  </si>
  <si>
    <t>Санхүүгийн түрээсийн өглөгт төлсөн</t>
  </si>
  <si>
    <t>3,2,3</t>
  </si>
  <si>
    <t>Хувьцаа буцаан худалдаж авахад төлсөн</t>
  </si>
  <si>
    <t>3,2,4</t>
  </si>
  <si>
    <t>Төлсөн ногдол ашиг</t>
  </si>
  <si>
    <t>3,1,4</t>
  </si>
  <si>
    <t>Төрөл бүрийн хандив</t>
  </si>
  <si>
    <t>3,2,5</t>
  </si>
  <si>
    <t>Âàëþòèéí õàíøèéí çºð¿¿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</si>
  <si>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</si>
  <si>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</si>
  <si>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</si>
  <si>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</si>
  <si>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№</t>
  </si>
  <si>
    <t>Дахин үнэлгээний нэмэгдлийн хэрэгжсэн дүн</t>
  </si>
  <si>
    <t>Эхний үлдэгдэл</t>
  </si>
  <si>
    <t>Касс дахь мөнгө</t>
  </si>
  <si>
    <t>Банкин дахь мөнгө</t>
  </si>
  <si>
    <t>Мөнгөтэй адилтгах хөрөнгө</t>
  </si>
  <si>
    <t>Нийт дүн</t>
  </si>
  <si>
    <t>Дансны авлага (цэвэр дүнгээр)</t>
  </si>
  <si>
    <t>Нэмэгдсэн</t>
  </si>
  <si>
    <t>Эцсийн үлдэгдэл</t>
  </si>
  <si>
    <t>НӨАТ-ын авлага</t>
  </si>
  <si>
    <t>Ажиллагчдаас авах авлага</t>
  </si>
  <si>
    <t>Хүүний авлага</t>
  </si>
  <si>
    <t>Богино хугацаат авлагын бичиг</t>
  </si>
  <si>
    <t>Бусад талуудаас авах авлага</t>
  </si>
  <si>
    <t>Түүхий эд материал</t>
  </si>
  <si>
    <t>Дуусаагүй үйлдвэрлэл</t>
  </si>
  <si>
    <t>Бэлэн бүтээгдэхүүн</t>
  </si>
  <si>
    <t>Эхний үлдэгдэл (өртгөөр)</t>
  </si>
  <si>
    <t>Нэмэгдсэн дүн</t>
  </si>
  <si>
    <t>Эцсийн үлдэгдэл (өртгөөр)</t>
  </si>
  <si>
    <t>Үнийн бууралтын гарз (-)</t>
  </si>
  <si>
    <t>Үнийн бууралтын буцаалт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</si>
  <si>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</si>
  <si>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</si>
  <si>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</si>
  <si>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</si>
  <si>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Тээврийн хэрэгсэл</t>
  </si>
  <si>
    <t>Тавилга эд хогшил</t>
  </si>
  <si>
    <t>Компьютер, бусад хэрэгсэл</t>
  </si>
  <si>
    <t>Бусад</t>
  </si>
  <si>
    <t>ҮНДСЭН ХӨРӨНГӨ /ӨРТӨГ/</t>
  </si>
  <si>
    <t>Өөрөө үйлдвэрлэсэн</t>
  </si>
  <si>
    <t>Худалдаж авсан</t>
  </si>
  <si>
    <t>Үнэ төлбөргүй авсан</t>
  </si>
  <si>
    <t>Дахин үнэлгээний нэмэгдэл</t>
  </si>
  <si>
    <t>Худалдсан</t>
  </si>
  <si>
    <t>Акталсан</t>
  </si>
  <si>
    <t>Үндсэн хөрөнгө дахин ангилсан</t>
  </si>
  <si>
    <t>ХУРИМТЛАГДСАН ЭЛЭГДЭЛ</t>
  </si>
  <si>
    <t>Хасагдсан дүн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</si>
  <si>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</si>
  <si>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</si>
  <si>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</si>
  <si>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</si>
  <si>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</si>
  <si>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Бусад биет бус хөрөнгө</t>
  </si>
  <si>
    <t>БИЕТ БУС ХӨРӨНГӨ /ӨРТӨГ/</t>
  </si>
  <si>
    <t>ХУРИМТЛАГДСАН ХОРОГДОЛ</t>
  </si>
  <si>
    <t>Үнэ цэнийн бууралт</t>
  </si>
  <si>
    <t>ДАНСНЫ ЦЭВЭР ДҮН</t>
  </si>
  <si>
    <t>Эхэлсэн он</t>
  </si>
  <si>
    <t>Хөрөнгө оруулалтын хувь</t>
  </si>
  <si>
    <t>Хөрөнгө оруулалтын дүн</t>
  </si>
  <si>
    <t>ААНОАТ өр</t>
  </si>
  <si>
    <t>Бусад татварын өр</t>
  </si>
  <si>
    <t>төгрөгөөр</t>
  </si>
  <si>
    <t>валютаар</t>
  </si>
  <si>
    <t>Баталгаат засварын</t>
  </si>
  <si>
    <t>Нөхөн сэргээлтийн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</si>
  <si>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</si>
  <si>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</si>
  <si>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</si>
  <si>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</si>
  <si>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Дүн (төгрөгөөр)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</si>
  <si>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</si>
  <si>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</si>
  <si>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</si>
  <si>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</si>
  <si>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</si>
  <si>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Тайлант оны дүн</t>
  </si>
  <si>
    <t>Борлуулалтын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</si>
  <si>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</si>
  <si>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</si>
  <si>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</si>
  <si>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</si>
  <si>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ажил, үйлчилгээний өртөг</t>
  </si>
  <si>
    <t>Хөрөнгийн үнэ цэнийн бууралтын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</si>
  <si>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</si>
  <si>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</si>
  <si>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</si>
  <si>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БорМар</t>
  </si>
  <si>
    <t>ЕрУд</t>
  </si>
  <si>
    <t>Ажиллагчдын цалингийн зардал</t>
  </si>
  <si>
    <t>Аж ахуйн нэгжээс төлсөн НДШ-ийн зардал</t>
  </si>
  <si>
    <t>Зар сурталчилгааны зардал</t>
  </si>
  <si>
    <t>Алданги, торгуулийн зардал</t>
  </si>
  <si>
    <t>Найдваргүй авлагын зардал</t>
  </si>
  <si>
    <t>Ажиллагчдын дундаж тоо</t>
  </si>
  <si>
    <t>Тайлант үеийн орлогын татварын зардал</t>
  </si>
  <si>
    <t>Хойшлогдсон татварын зардал (орлого)</t>
  </si>
  <si>
    <t>Толгой компани</t>
  </si>
  <si>
    <t>Хамгийн дээд хяналт тавигч толгой компани</t>
  </si>
  <si>
    <t>Хамгийн дээд хяналт тавигч хувь хүн</t>
  </si>
  <si>
    <t>Нэр</t>
  </si>
  <si>
    <t>Бүртгэгдсэн (оршин суугаа) улс</t>
  </si>
  <si>
    <t>Эзэмшлийн хувь</t>
  </si>
  <si>
    <t/>
  </si>
  <si>
    <t>1. Мөнгө түүнтэй адилтгах хөрөнгө</t>
  </si>
  <si>
    <t>/Мянган төгрөг/</t>
  </si>
  <si>
    <t>1</t>
  </si>
  <si>
    <t>2</t>
  </si>
  <si>
    <t>3</t>
  </si>
  <si>
    <t>4</t>
  </si>
  <si>
    <t>Тэмдэглэл</t>
  </si>
  <si>
    <t>4.1. Дансны авлага</t>
  </si>
  <si>
    <t>Найдваргүй авлагын хасагдуулга</t>
  </si>
  <si>
    <t xml:space="preserve"> 2</t>
  </si>
  <si>
    <t>Хасагдсан</t>
  </si>
  <si>
    <t xml:space="preserve"> 3.1</t>
  </si>
  <si>
    <t>-Төлөгдсөн</t>
  </si>
  <si>
    <t xml:space="preserve"> 3.2</t>
  </si>
  <si>
    <t>-Найдваргүй болсон</t>
  </si>
  <si>
    <t>4.1. Татварын авлага</t>
  </si>
  <si>
    <t>ААНОАТ-ын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</si>
  <si>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</si>
  <si>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</si>
  <si>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</si>
  <si>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Ноогдол ашгийн авлага</t>
  </si>
  <si>
    <t>5. Бусад санхүүгийн хөрөнгө</t>
  </si>
  <si>
    <t xml:space="preserve"> 1</t>
  </si>
  <si>
    <t>6. Бараа материал</t>
  </si>
  <si>
    <t>5</t>
  </si>
  <si>
    <t>8. Урьдчилж төлсөн зардал/тооцоо</t>
  </si>
  <si>
    <t xml:space="preserve">3 </t>
  </si>
  <si>
    <t>9. Үндсэн хөрөнгө</t>
  </si>
  <si>
    <t>Барилга байгууламж</t>
  </si>
  <si>
    <t>1.1</t>
  </si>
  <si>
    <t>1.2</t>
  </si>
  <si>
    <t xml:space="preserve"> 1.2.1</t>
  </si>
  <si>
    <t xml:space="preserve"> 1.2.2</t>
  </si>
  <si>
    <t xml:space="preserve"> 1.2.3</t>
  </si>
  <si>
    <t xml:space="preserve"> 1.2.4</t>
  </si>
  <si>
    <t>1.3</t>
  </si>
  <si>
    <t xml:space="preserve"> 1.3.1</t>
  </si>
  <si>
    <t xml:space="preserve"> 1.3.2</t>
  </si>
  <si>
    <t xml:space="preserve"> 1.3.3</t>
  </si>
  <si>
    <t>1.4</t>
  </si>
  <si>
    <t>1.5</t>
  </si>
  <si>
    <t>1.6</t>
  </si>
  <si>
    <t>2.1</t>
  </si>
  <si>
    <t>2.2</t>
  </si>
  <si>
    <t xml:space="preserve"> 2.2.1</t>
  </si>
  <si>
    <t xml:space="preserve"> 2.2.2</t>
  </si>
  <si>
    <t>Дахин үнэлгээгээр нэмэгдсэн</t>
  </si>
  <si>
    <t xml:space="preserve"> 2.2.3</t>
  </si>
  <si>
    <t>2.3</t>
  </si>
  <si>
    <t xml:space="preserve"> 2.3.1</t>
  </si>
  <si>
    <t xml:space="preserve"> 2.3.2</t>
  </si>
  <si>
    <t>Дахин үнэлгээгээр хасагдсан</t>
  </si>
  <si>
    <t xml:space="preserve"> 2.3.3</t>
  </si>
  <si>
    <t>2.4</t>
  </si>
  <si>
    <t>3.1</t>
  </si>
  <si>
    <t>3.2</t>
  </si>
  <si>
    <t>11. Дуусаагүй барилга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</si>
  <si>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</si>
  <si>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</si>
  <si>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</si>
  <si>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</si>
  <si>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</si>
  <si>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Газар эзэмших эрх</t>
  </si>
  <si>
    <t>Үнэгүй шилжүүлсэн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</si>
  <si>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</si>
  <si>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</si>
  <si>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</si>
  <si>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</si>
  <si>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</si>
  <si>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</si>
  <si>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</si>
  <si>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</si>
  <si>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</si>
  <si>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</si>
  <si>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</si>
  <si>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</si>
  <si>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</si>
  <si>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</si>
  <si>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</si>
  <si>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НӨАТ -ын өр</t>
  </si>
  <si>
    <t>ХХОАТ -ын өр</t>
  </si>
  <si>
    <t xml:space="preserve"> 4</t>
  </si>
  <si>
    <t>Онцгой АТ -н өр</t>
  </si>
  <si>
    <t xml:space="preserve"> 5</t>
  </si>
  <si>
    <t xml:space="preserve"> 6</t>
  </si>
  <si>
    <t>16.3. Богино хугацаат зээл</t>
  </si>
  <si>
    <t>16.4. Богино хугацаат нөөц өр төлбөр</t>
  </si>
  <si>
    <t>Хасагдсан (ашигласан нөөц)</t>
  </si>
  <si>
    <t>Ашиглаагүй буцаан бичсэн дүн</t>
  </si>
  <si>
    <t>16.5. Бусад богино хугацаат өр төлбөр</t>
  </si>
  <si>
    <t>16.6. Урт хугацаат зээл болон бусад урт хугацаат өр төлбөр</t>
  </si>
  <si>
    <t xml:space="preserve"> 1.1</t>
  </si>
  <si>
    <t xml:space="preserve"> 1.2</t>
  </si>
  <si>
    <t xml:space="preserve"> 1.3</t>
  </si>
  <si>
    <t>Бусад урт хугацаат өр төлбөрийн дүн</t>
  </si>
  <si>
    <t xml:space="preserve"> 2.1</t>
  </si>
  <si>
    <t>(Гадаад, дотоодын зах зээлд гаргасан бонд, өрийн бичиг)</t>
  </si>
  <si>
    <t xml:space="preserve"> 2.2</t>
  </si>
  <si>
    <t>17.1. Өмч</t>
  </si>
  <si>
    <t>Тоо ширхэг</t>
  </si>
  <si>
    <t>(Төгрөгөөр)</t>
  </si>
  <si>
    <t>17.2. Хөрөнгийн дахин үнэлгээний нэмэгдэл</t>
  </si>
  <si>
    <t>Дахин үнэлсэн хөрөнгийн үнэ цэнийн бууралтын гарзын буцаалт</t>
  </si>
  <si>
    <t xml:space="preserve"> 3.3</t>
  </si>
  <si>
    <t>Дахин үнэлсэн хөрөнгийн үнэ цэнийн бууралтын гарз</t>
  </si>
  <si>
    <t>17.3. Гадаад валютын хөрвүүлэлтийн нөөц</t>
  </si>
  <si>
    <t>18. Борлуулалтын орлого болон борлуулалтын өртөг</t>
  </si>
  <si>
    <t>Бараа, бүтээгдэхүүн борлуулсны орлого: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</si>
  <si>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</si>
  <si>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</si>
  <si>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</si>
  <si>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</si>
  <si>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</si>
  <si>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 xml:space="preserve"> 7.2</t>
  </si>
  <si>
    <t xml:space="preserve"> 8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</si>
  <si>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</si>
  <si>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</si>
  <si>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</si>
  <si>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</si>
  <si>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</si>
  <si>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</si>
  <si>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</si>
  <si>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</si>
  <si>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ХОЗҮХХ28-ийн  бодит үнэ цэнийн өөрчлөлтийн олз, гарз</t>
  </si>
  <si>
    <t>20.1. Борлуулалт маркетингийн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</si>
  <si>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</si>
  <si>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</si>
  <si>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</si>
  <si>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</si>
  <si>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 xml:space="preserve"> 7</t>
  </si>
  <si>
    <t>Мэргэжлийн үйлчилгээний зардал</t>
  </si>
  <si>
    <t>Сургалтын  зардал</t>
  </si>
  <si>
    <t xml:space="preserve"> 9</t>
  </si>
  <si>
    <t>Сонин сэтгүүл захиалгын  зардал</t>
  </si>
  <si>
    <t xml:space="preserve"> 10</t>
  </si>
  <si>
    <t>Даатгалын зардал</t>
  </si>
  <si>
    <t xml:space="preserve"> 11</t>
  </si>
  <si>
    <t>Ашиглалтын зардал</t>
  </si>
  <si>
    <t xml:space="preserve"> 12</t>
  </si>
  <si>
    <t>Засварын зардал</t>
  </si>
  <si>
    <t xml:space="preserve"> 13</t>
  </si>
  <si>
    <t>Элэгдэл, хорогдлын зардал</t>
  </si>
  <si>
    <t xml:space="preserve"> 14</t>
  </si>
  <si>
    <t>Түрээсийн зардал</t>
  </si>
  <si>
    <t xml:space="preserve"> 15</t>
  </si>
  <si>
    <t>Харуул хамгааллын зардал</t>
  </si>
  <si>
    <t xml:space="preserve"> 16</t>
  </si>
  <si>
    <t>Цэвэрлэгээ үйлчилгээний зардал</t>
  </si>
  <si>
    <t xml:space="preserve"> 17</t>
  </si>
  <si>
    <t>Тээврийн зардал</t>
  </si>
  <si>
    <t xml:space="preserve"> 18</t>
  </si>
  <si>
    <t>Шатахууны зардал</t>
  </si>
  <si>
    <t xml:space="preserve"> 19</t>
  </si>
  <si>
    <t>Хүлээн авалтын зардал</t>
  </si>
  <si>
    <t xml:space="preserve"> 20</t>
  </si>
  <si>
    <t xml:space="preserve"> 21</t>
  </si>
  <si>
    <t>20.2. Бусад зарлага</t>
  </si>
  <si>
    <t>Хандивын зардал</t>
  </si>
  <si>
    <t>20.3. Цалингийн зардал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</si>
  <si>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</si>
  <si>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</si>
  <si>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</si>
  <si>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</si>
  <si>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</si>
  <si>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</si>
  <si>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Тайлбар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</si>
  <si>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</si>
  <si>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</si>
  <si>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</si>
  <si>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</si>
  <si>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</si>
  <si>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</si>
  <si>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</si>
  <si>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</si>
  <si>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</si>
  <si>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</si>
  <si>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</si>
  <si>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</si>
  <si>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</si>
  <si>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</si>
  <si>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</si>
  <si>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</si>
  <si>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</si>
  <si>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</si>
  <si>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</si>
  <si>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</si>
  <si>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</si>
  <si>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</si>
  <si>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</si>
  <si>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</si>
  <si>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</si>
  <si>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</si>
  <si>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</si>
  <si>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</si>
  <si>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</si>
  <si>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</si>
  <si>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</si>
  <si>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</si>
  <si>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</si>
  <si>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</si>
  <si>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</si>
  <si>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</si>
  <si>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</si>
  <si>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</si>
  <si>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</si>
  <si>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</si>
  <si>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</si>
  <si>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</si>
  <si>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 xml:space="preserve"> Çàõèðàë      _______________________________ (..............................)</t>
  </si>
  <si>
    <t>Ерөнхий нягтлан бодогч      ___________________ (..............................)</t>
  </si>
  <si>
    <t xml:space="preserve"> Захирал   _______________________________ (..............................)</t>
  </si>
  <si>
    <t xml:space="preserve">                Захирал      _______________________________ (..............................)</t>
  </si>
  <si>
    <t>Äàðõàí Íýõèé ÕÊ</t>
  </si>
  <si>
    <t>Бараа материалын төрөл</t>
  </si>
  <si>
    <t>Хасагдсан дүн (-)</t>
  </si>
  <si>
    <t>Дансны цэвэр дүн*:</t>
  </si>
  <si>
    <t xml:space="preserve">Эхний үлдэгдэл </t>
  </si>
  <si>
    <t>Бараа /арьс/</t>
  </si>
  <si>
    <t>хими отм</t>
  </si>
  <si>
    <t xml:space="preserve">Хангамжийн материал, сэлбэг </t>
  </si>
  <si>
    <t>ОС</t>
  </si>
  <si>
    <t>Барилга, байгууламж</t>
  </si>
  <si>
    <t>Машин, тоног төхөөрөмж</t>
  </si>
  <si>
    <t>үндсэн хөрөнгө</t>
  </si>
  <si>
    <t>Охин компанид ш/н</t>
  </si>
  <si>
    <t xml:space="preserve">Үнэгүй шилжүүлсэн </t>
  </si>
  <si>
    <t>Îõèí êîìïàíèä ø/í</t>
  </si>
  <si>
    <t>Үндсэн хөрөнгө, ХОЗҮХХ[1] хооронд дахин ангилсан</t>
  </si>
  <si>
    <t xml:space="preserve">   Байгуулсан элэгдэл</t>
  </si>
  <si>
    <t xml:space="preserve">Дахин үнэлгээгээр нэмэгдсэн </t>
  </si>
  <si>
    <t xml:space="preserve">   Данснаас хассан хөрөнгийн элэгдэл</t>
  </si>
  <si>
    <t xml:space="preserve">    Дахин үнэлгээгээр  хасагдсан </t>
  </si>
  <si>
    <t xml:space="preserve">ДАНСНЫ ЦЭВЭР ДҮН </t>
  </si>
  <si>
    <t>Эхний үлдэгдэл    (1.1 - 2.1)</t>
  </si>
  <si>
    <t>Эцсийн үлдэгдэл (1.6 - 2.4)</t>
  </si>
  <si>
    <t>Регистр: 2649624</t>
  </si>
  <si>
    <t>Байгууллагын нэр: Дархан Нэхий ХК</t>
  </si>
  <si>
    <t>¯éë÷èëãýýíèé áàðèëãà ÇÁ</t>
  </si>
  <si>
    <t>Îðîí ñóóöíû áàðèëãà</t>
  </si>
  <si>
    <t>гахай</t>
  </si>
  <si>
    <t>ӨМЧИЙН ӨӨРЧЛӨЛТИЙН ТАЙЛАН</t>
  </si>
  <si>
    <t xml:space="preserve">                    2018 îíû 12 ñàðûí 31ºäºð</t>
  </si>
  <si>
    <t>ҮЗҮҮЛЭЛТ</t>
  </si>
  <si>
    <t>Хувьцаат êàïèòàë</t>
  </si>
  <si>
    <t>Õàëààñíû õóâüöàà</t>
  </si>
  <si>
    <t>ÍÒÊ</t>
  </si>
  <si>
    <t>Дахин үнэлгээний íººö</t>
  </si>
  <si>
    <t>Ýçýìøèã÷èéí ºì÷èéí áóñàä õýñýã</t>
  </si>
  <si>
    <t>Хуримтëàãäñàí àøèã</t>
  </si>
  <si>
    <t>Нийт ä¿í</t>
  </si>
  <si>
    <t>2017оны 01-р сарын 01-ний үлдэгдэл</t>
  </si>
  <si>
    <t>Бүртгэлийн бодлогын өөрчлөлт</t>
  </si>
  <si>
    <t>Залруулсан  үлдэгдэл</t>
  </si>
  <si>
    <t>Үндсэн хөрөнгийн дахин үнэлгээний өсөлт /бууралт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</si>
  <si>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</si>
  <si>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</si>
  <si>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</si>
  <si>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</si>
  <si>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</si>
  <si>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2017оны 12-р сарын 31-ний үлдэгдэл</t>
  </si>
  <si>
    <t>ªì÷èä ãàðñàí ººð÷ëºëò</t>
  </si>
  <si>
    <t>Áóöàëòã¿é òóñëàìæ õàíäèâ</t>
  </si>
  <si>
    <t>2018оны 12-р сарын 31-ний үлдэгдэл</t>
  </si>
  <si>
    <t xml:space="preserve">                Çàõèðàë      _______________________________ </t>
  </si>
  <si>
    <t xml:space="preserve">                Ерөнхий нягтлан бодогч      ___________________ </t>
  </si>
  <si>
    <t>Байгууллагын нэр: Дарханнэхий</t>
  </si>
  <si>
    <t>Регистр: 02649624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</si>
  <si>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</si>
  <si>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</si>
  <si>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</si>
  <si>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</si>
  <si>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 xml:space="preserve">Нягтлан бодогч ....................... </t>
  </si>
  <si>
    <t xml:space="preserve">Захирал ....................... </t>
  </si>
  <si>
    <t xml:space="preserve">Регистр: </t>
  </si>
  <si>
    <t>2018 оны 12-р сарын 31-ны үлдэгдэл</t>
  </si>
  <si>
    <t>2019 оны 06-р сарын 30-ны үлдэгдэл</t>
  </si>
  <si>
    <t>2017 оны 12-р сарын 31-ны үлдэгдэл</t>
  </si>
  <si>
    <t>2018 он</t>
  </si>
  <si>
    <t>2019 он</t>
  </si>
  <si>
    <t xml:space="preserve">                      2020 он</t>
  </si>
  <si>
    <t>Гүйцэтгэл</t>
  </si>
  <si>
    <t>Төлөвлөгөө</t>
  </si>
  <si>
    <t xml:space="preserve">         Өмнөх оноос</t>
  </si>
  <si>
    <t>Т/биелэлт хувь</t>
  </si>
  <si>
    <t>Өмнөх оноос өсөлт</t>
  </si>
  <si>
    <t>Хувь</t>
  </si>
  <si>
    <t>Борлуулалтын орлого</t>
  </si>
  <si>
    <t>693 836 166.33</t>
  </si>
  <si>
    <t>1 304 442 561.65</t>
  </si>
  <si>
    <t>1 311 589 243.83</t>
  </si>
  <si>
    <t>617 753 077.5</t>
  </si>
  <si>
    <t>4 066 358 159.45</t>
  </si>
  <si>
    <t>2 754 768 915.61</t>
  </si>
  <si>
    <t>З/буудлын орлого</t>
  </si>
  <si>
    <t>2 063 096 582.75</t>
  </si>
  <si>
    <t>333 641 652.72</t>
  </si>
  <si>
    <t>848 442 561.65</t>
  </si>
  <si>
    <t>666 671 612.47</t>
  </si>
  <si>
    <t>333 029 959.74</t>
  </si>
  <si>
    <t>1 145 768 576.70</t>
  </si>
  <si>
    <t>479 096 964.23</t>
  </si>
  <si>
    <t>Рестораны орлого</t>
  </si>
  <si>
    <t>360 194 513.61</t>
  </si>
  <si>
    <t>456 000 000</t>
  </si>
  <si>
    <t>644 917 631.37</t>
  </si>
  <si>
    <t>284 723 117.76</t>
  </si>
  <si>
    <t>857 493 000</t>
  </si>
  <si>
    <t>212 575 368.63</t>
  </si>
  <si>
    <t>Борлуулсан бүтээгдэхүүний өртөг</t>
  </si>
  <si>
    <t>183 909 137.87</t>
  </si>
  <si>
    <t>237 036 631</t>
  </si>
  <si>
    <t>296 893 901.17</t>
  </si>
  <si>
    <t>112 984 763.30</t>
  </si>
  <si>
    <t>923 397 494.40</t>
  </si>
  <si>
    <t>626 503 593.23</t>
  </si>
  <si>
    <t>НИЙТ АШИГ</t>
  </si>
  <si>
    <t>509 927 028.46</t>
  </si>
  <si>
    <t>1 067 405 930.65</t>
  </si>
  <si>
    <t>1 014 695 342.66</t>
  </si>
  <si>
    <t>504 768 314.20</t>
  </si>
  <si>
    <t>3 142 960 665.05</t>
  </si>
  <si>
    <t>2 128 265 322.39</t>
  </si>
  <si>
    <t>Ү ажиллгааны зардал</t>
  </si>
  <si>
    <t>272 267 222.44</t>
  </si>
  <si>
    <t>630 995 587.15</t>
  </si>
  <si>
    <t>731 600 856.52</t>
  </si>
  <si>
    <t>459 333 634.08</t>
  </si>
  <si>
    <t>1 496 828 330.04</t>
  </si>
  <si>
    <t>765 227 473.52</t>
  </si>
  <si>
    <t>Татварын өмнөх ашиг</t>
  </si>
  <si>
    <t>237 659 806.03</t>
  </si>
  <si>
    <t>343 851 281.13</t>
  </si>
  <si>
    <t>302 868 779.95</t>
  </si>
  <si>
    <t>65 208 973.93</t>
  </si>
  <si>
    <t>1 395 567 950.18</t>
  </si>
  <si>
    <t>1 092 699 170.23</t>
  </si>
  <si>
    <t>ЦЭВЭР АШИГ</t>
  </si>
  <si>
    <t>213 893 825.42</t>
  </si>
  <si>
    <t>309 466 153.01</t>
  </si>
  <si>
    <t>272 581 901.96</t>
  </si>
  <si>
    <t>58 688 076.54</t>
  </si>
  <si>
    <t>1 256 011 155.17</t>
  </si>
  <si>
    <t>983 429 253.21</t>
  </si>
  <si>
    <t>НИЙТ ҮЙЛ АЖИЛЛАГААНЫ ЗАРДАЛ</t>
  </si>
  <si>
    <t>Орлогын 1 төгрөгт ногдох зардал</t>
  </si>
  <si>
    <t xml:space="preserve">                                                                                                                        Үйлдвэрлэлт</t>
  </si>
  <si>
    <t>2-р хоол</t>
  </si>
  <si>
    <t>15 098.04</t>
  </si>
  <si>
    <t>21 640</t>
  </si>
  <si>
    <t>Зууш салат</t>
  </si>
  <si>
    <t>11 503.06</t>
  </si>
  <si>
    <t>10 136.94</t>
  </si>
  <si>
    <t>Шингэн хүнс</t>
  </si>
  <si>
    <t>39 468</t>
  </si>
  <si>
    <t>43 952.72</t>
  </si>
  <si>
    <t>108 200</t>
  </si>
  <si>
    <t>64 247.28</t>
  </si>
  <si>
    <t>Ажилтнуудын тоо</t>
  </si>
  <si>
    <t>Нэг ажилтанд ногдох орлого</t>
  </si>
  <si>
    <t>108 703 546.80</t>
  </si>
  <si>
    <t>109 299 103.652</t>
  </si>
  <si>
    <t>94 566 468.82</t>
  </si>
  <si>
    <t>881 522.83</t>
  </si>
  <si>
    <t>Хөрөнгө оруулалт</t>
  </si>
  <si>
    <t>6 073 147 530</t>
  </si>
  <si>
    <t>3 955 664 084.70</t>
  </si>
  <si>
    <t>Авлага</t>
  </si>
  <si>
    <t>19 977 109.10</t>
  </si>
  <si>
    <t>1 261 761 369.92</t>
  </si>
  <si>
    <t>1 241 784 260.82</t>
  </si>
  <si>
    <t>Өглөг</t>
  </si>
  <si>
    <t>68 880 195.05</t>
  </si>
  <si>
    <t>65 087 033.11</t>
  </si>
  <si>
    <t>3 793 161.94</t>
  </si>
  <si>
    <t>Нийт хөрөнгө</t>
  </si>
  <si>
    <t>9 802 964 583.90</t>
  </si>
  <si>
    <t>13 487 563 262.01</t>
  </si>
  <si>
    <t>3 684 598 678.11</t>
  </si>
  <si>
    <t xml:space="preserve">       Үндсэн хөрөнгө олж эзэмшихэд төлсөн</t>
  </si>
  <si>
    <t xml:space="preserve">      Зээл, өрийн үнэт цаасны төлбөрт төлсөн</t>
  </si>
  <si>
    <t>САНХҮҮГИЙН ТАЙЛАНГИЙН</t>
  </si>
  <si>
    <t>ТОДРУУЛГА</t>
  </si>
  <si>
    <t>2019 оны 12 сарын 31 өдөр</t>
  </si>
  <si>
    <t>Үндсэн үйл ажиллагааны чиглэл /төрөл/ :</t>
  </si>
  <si>
    <t>(а)</t>
  </si>
  <si>
    <t>Àðüñ øèð áîëîâñðóóëàõ</t>
  </si>
  <si>
    <t>(б)</t>
  </si>
  <si>
    <t>Î¸äëûí ¿éëäâýðëýë</t>
  </si>
  <si>
    <t>(в)</t>
  </si>
  <si>
    <t>Туслах үйл ажиллагааны чиглэл /төрөл/ :</t>
  </si>
  <si>
    <t>___________________________________</t>
  </si>
  <si>
    <t>(б) __________________________________</t>
  </si>
  <si>
    <t>Салбар, төлөөлөгчийн газрын нэр, байршил :</t>
  </si>
  <si>
    <t>_____________________________________________________________________________</t>
  </si>
  <si>
    <r>
      <t>1.</t>
    </r>
    <r>
      <rPr>
        <sz val="7"/>
        <color indexed="9"/>
        <rFont val="Times New Roman Mon"/>
        <family val="1"/>
      </rPr>
      <t xml:space="preserve">       </t>
    </r>
    <r>
      <rPr>
        <sz val="10"/>
        <color indexed="9"/>
        <rFont val="Times New Roman Mon"/>
        <family val="1"/>
      </rPr>
      <t>ТАЙЛАН БЭЛТГЭХ ҮНДЭСЛЭЛ</t>
    </r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</si>
  <si>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</si>
  <si>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2.</t>
    </r>
    <r>
      <rPr>
        <sz val="7"/>
        <color indexed="9"/>
        <rFont val="Times New Roman Mon"/>
        <family val="1"/>
      </rPr>
      <t xml:space="preserve">       </t>
    </r>
    <r>
      <rPr>
        <sz val="10"/>
        <color indexed="9"/>
        <rFont val="Times New Roman Mon"/>
        <family val="1"/>
      </rPr>
      <t>НЯГТЛАН БОДОХ БҮРТГЭЛИЙН БОДЛОГЫН ӨӨРЧЛӨЛТ</t>
    </r>
  </si>
  <si>
    <t>1. Íÿãòëàí áîäîõ á¿ðòãýëýý àêêóðýë ñóóðèàð õºòºëäºã</t>
  </si>
  <si>
    <t>2. Ñàíõ¿¿ãèéí òàéëàíä õºðºíãº, ºð òºëáºðèéã Ìîíãîë óëñûí òºãðºãººð èëýðõèéëñýí</t>
  </si>
  <si>
    <t>3. Õºðºíãºº ò¿¿õýí ºðòãººð ¿íýëñýí</t>
  </si>
  <si>
    <t>4. ¯íäñýí õºðºíãèéí ýëýãäëèéã òàòâàðûí çîðèëãîîð àøèãëàõ æèëèéã òîäîðõîéëñîí áà øóëóóí</t>
  </si>
  <si>
    <t xml:space="preserve">    øóãàìûí àðãààð ýëýãäëýý áàéãóóëñàí</t>
  </si>
  <si>
    <t>5. Îðëîãîî ¿éë÷èëãýý ¿ç¿¿ëñýí ¿åäýý õ¿ëýýí çºâøººðäºã.</t>
  </si>
  <si>
    <t>6. Çàðäëàà îðëîãî çàðäàë óÿëäàõ çàð÷ìààð õ¿ëýýí çºâøººðñºí</t>
  </si>
  <si>
    <t>7. Òàòâàðûí òîîöîîëëûã Ìîíãîë óëñûí òàòâàðûí áàãö õóóëèéí äàãóó òîäîðõîéëñîí</t>
  </si>
  <si>
    <t>___Худалдаа үйлчилгээ________________________________</t>
  </si>
  <si>
    <t>Банк бус санхүүгийн байгууллага</t>
  </si>
  <si>
    <t>2.1. Мөнгө түүнтэй адилтгах хөрөнгө</t>
  </si>
  <si>
    <t>3.1. Дансны авлага</t>
  </si>
  <si>
    <t>3.1. Татварын авлага</t>
  </si>
  <si>
    <t>Зочид буудлын зориулалттай барилга</t>
  </si>
  <si>
    <t>Шахмал ширний үйлдвэрийн барилга</t>
  </si>
  <si>
    <t>Үйл ажиллагааны бусад орлого</t>
  </si>
  <si>
    <t>ҮХЭХАТ</t>
  </si>
  <si>
    <t>НДШ-ийн өр</t>
  </si>
  <si>
    <t>Зээлийн хүүгийн зардал</t>
  </si>
  <si>
    <t xml:space="preserve"> 22</t>
  </si>
  <si>
    <t>хими отм/хүнс</t>
  </si>
  <si>
    <t>НЭГТГЭСЭН МӨНГӨН ГҮЙЛГЭЭНИЙ ТАЙЛАН</t>
  </si>
  <si>
    <t>НЭГТГЭСЭН ӨМЧИЙН ӨӨРЧЛӨЛТИЙН ТАЙЛАН</t>
  </si>
  <si>
    <t>Бусад дэлгэрэнгүй орлогын дүн</t>
  </si>
  <si>
    <t>Хяналтгүй эрхгүй хувь оролцоо</t>
  </si>
  <si>
    <t>нийт дүн</t>
  </si>
  <si>
    <t>Нэгтгэгдсэн байгууллагууд</t>
  </si>
  <si>
    <t>Байгууллагын регистрийн дугаар</t>
  </si>
  <si>
    <t>Байгууллагын нэр</t>
  </si>
  <si>
    <t>Хувь эзэмшил %</t>
  </si>
  <si>
    <t>Эдийн засгийн ангилал</t>
  </si>
  <si>
    <t>Нэхий таннери ххк</t>
  </si>
  <si>
    <t>Нэхий гармент ххк</t>
  </si>
  <si>
    <t>Нэхий трейд ххк</t>
  </si>
  <si>
    <t>Як трейд ххк</t>
  </si>
  <si>
    <t>Гранд Як ххк</t>
  </si>
  <si>
    <t>Нэхий агр ххк</t>
  </si>
  <si>
    <t>Дэвжих нэхий ббсб</t>
  </si>
  <si>
    <t>эхний үлдэгдэл</t>
  </si>
  <si>
    <t>Охин компани</t>
  </si>
  <si>
    <t>Цэвэр хөрөнгийн дансны дүн</t>
  </si>
  <si>
    <t>Охин компани дахь толгой компанийн эзэмшлийн хувь</t>
  </si>
  <si>
    <t>Охин компани дахь толгой компанийн эзэмшлийн хувь тэнцүүлсэн дүн</t>
  </si>
  <si>
    <t>Гүүдвил</t>
  </si>
  <si>
    <t>Доош чиглэсэн ажил гүйлгээний бодит бус ашиг алдагдлын устгалт</t>
  </si>
  <si>
    <t>Охин компани дахь толгой компанийн хувь оролцооны дансны үнэ</t>
  </si>
  <si>
    <t>5=1+2-3-4</t>
  </si>
  <si>
    <t>7=5*6</t>
  </si>
  <si>
    <t>10=+7+8+9</t>
  </si>
  <si>
    <t>Орлого</t>
  </si>
  <si>
    <t>Тасралтгүй үйл ажиллагааны татварын дараах ашиг, алдагдал</t>
  </si>
  <si>
    <t>Зогсоосон үйл ажиллагааны татварын дараах ашиг алдагдал</t>
  </si>
  <si>
    <t>Тайлант үеийн цэвэр ашиг, алдагдал</t>
  </si>
  <si>
    <t>Толгой компанид хамаарах охин компанийн тасралтгүй үйл ажиллгааны татварын дараах ашиг</t>
  </si>
  <si>
    <t>Тайлант үеийн туршид толгой компанид хуваарилагдсан ногдол ашиг</t>
  </si>
  <si>
    <t>9=8*2</t>
  </si>
  <si>
    <t>Balance sheet</t>
  </si>
  <si>
    <t>MNT'000</t>
  </si>
  <si>
    <t>Items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</si>
  <si>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</si>
  <si>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</si>
  <si>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</si>
  <si>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</si>
  <si>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</si>
  <si>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</si>
  <si>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</si>
  <si>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</si>
  <si>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</si>
  <si>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</si>
  <si>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Assets classified as held for sale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</si>
  <si>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</si>
  <si>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</si>
  <si>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</si>
  <si>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</si>
  <si>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</si>
  <si>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</si>
  <si>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</si>
  <si>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</si>
  <si>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</si>
  <si>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>Deferred tax assets</t>
  </si>
  <si>
    <t xml:space="preserve">  1.1.10</t>
  </si>
  <si>
    <t xml:space="preserve">  1.1.11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</si>
  <si>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</si>
  <si>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</si>
  <si>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</si>
  <si>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</si>
  <si>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</si>
  <si>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</si>
  <si>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Exploration and evaluation assets</t>
  </si>
  <si>
    <t>Deferred tax asset</t>
  </si>
  <si>
    <t>Investment properties</t>
  </si>
  <si>
    <t>Other non-current assets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</si>
  <si>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</si>
  <si>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</si>
  <si>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</si>
  <si>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</si>
  <si>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</si>
  <si>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</si>
  <si>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</si>
  <si>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</si>
  <si>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</si>
  <si>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</si>
  <si>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>Total Non-Current Asset</t>
  </si>
  <si>
    <t>Total Asset</t>
  </si>
  <si>
    <t>Liabilities and Equity</t>
  </si>
  <si>
    <t>Liabilities</t>
  </si>
  <si>
    <t>Current Liabilities</t>
  </si>
  <si>
    <t>Trade payables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</si>
  <si>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</si>
  <si>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</si>
  <si>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</si>
  <si>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</si>
  <si>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</si>
  <si>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</si>
  <si>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</si>
  <si>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</si>
  <si>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</si>
  <si>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</si>
  <si>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</si>
  <si>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</si>
  <si>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</si>
  <si>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</si>
  <si>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</si>
  <si>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</si>
  <si>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</si>
  <si>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</si>
  <si>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</si>
  <si>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</si>
  <si>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2.1.1.12</t>
  </si>
  <si>
    <t xml:space="preserve">   2.1.1.13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</si>
  <si>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</si>
  <si>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</si>
  <si>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</si>
  <si>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</si>
  <si>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</si>
  <si>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</si>
  <si>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</si>
  <si>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</si>
  <si>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</si>
  <si>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</si>
  <si>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</si>
  <si>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</si>
  <si>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</si>
  <si>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</si>
  <si>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private</t>
  </si>
  <si>
    <t xml:space="preserve">Listed </t>
  </si>
  <si>
    <t>Treasury shares</t>
  </si>
  <si>
    <t>Share premium</t>
  </si>
  <si>
    <t>Revaluation reserve</t>
  </si>
  <si>
    <t>Foreign currency translation reserve</t>
  </si>
  <si>
    <t>Other components of equity</t>
  </si>
  <si>
    <t>Retained earnings</t>
  </si>
  <si>
    <t>Issued capital  -state owned</t>
  </si>
  <si>
    <t>Total equity</t>
  </si>
  <si>
    <t>Total Liabilities and Equity</t>
  </si>
  <si>
    <t>Non controlling interest</t>
  </si>
  <si>
    <t>Parent company shareholders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</si>
  <si>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</si>
  <si>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</si>
  <si>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</si>
  <si>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</si>
  <si>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</si>
  <si>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</si>
  <si>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</si>
  <si>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</si>
  <si>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</si>
  <si>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</si>
  <si>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</si>
  <si>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 2.3.12</t>
  </si>
  <si>
    <t xml:space="preserve">  2.3.13</t>
  </si>
  <si>
    <t>Income statement</t>
  </si>
  <si>
    <t>MNT'000, except EPS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</si>
  <si>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</si>
  <si>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</si>
  <si>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</si>
  <si>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</si>
  <si>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</si>
  <si>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</si>
  <si>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</si>
  <si>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</si>
  <si>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</si>
  <si>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</si>
  <si>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</si>
  <si>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</si>
  <si>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</si>
  <si>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</si>
  <si>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</si>
  <si>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</si>
  <si>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</si>
  <si>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Gain (loss) of a subsidiary belonging to the parent company</t>
  </si>
  <si>
    <t>Gain (loss) of the joint venture owned by the parent company</t>
  </si>
  <si>
    <t>18</t>
  </si>
  <si>
    <t>20</t>
  </si>
  <si>
    <t>22</t>
  </si>
  <si>
    <t>23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</si>
  <si>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</si>
  <si>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</si>
  <si>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</si>
  <si>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</si>
  <si>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</si>
  <si>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Noncontrolling interest</t>
  </si>
  <si>
    <t>Other comprehensive income</t>
  </si>
  <si>
    <t>Revaluation of assets</t>
  </si>
  <si>
    <t>Exchange differences on translation of foreign operations</t>
  </si>
  <si>
    <t>Total other comprehensive income</t>
  </si>
  <si>
    <t>Earnings per share</t>
  </si>
  <si>
    <t>STATEMENT OF CHANGES IN EQUITY</t>
  </si>
  <si>
    <t>Issued capital</t>
  </si>
  <si>
    <t>Retained Earnings</t>
  </si>
  <si>
    <t>Total</t>
  </si>
  <si>
    <t>At 31 December 2018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</si>
  <si>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</si>
  <si>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</si>
  <si>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</si>
  <si>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</si>
  <si>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</si>
  <si>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</si>
  <si>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2019</t>
  </si>
  <si>
    <t>At 30 June 2020</t>
  </si>
  <si>
    <t>Statement of cashflow</t>
  </si>
  <si>
    <t>At Jan 01, 2020</t>
  </si>
  <si>
    <t>At June 30, 2020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</si>
  <si>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</si>
  <si>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</si>
  <si>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</si>
  <si>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</si>
  <si>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</si>
  <si>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</si>
  <si>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</si>
  <si>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</si>
  <si>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</si>
  <si>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</si>
  <si>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</si>
  <si>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</si>
  <si>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</si>
  <si>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</si>
  <si>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</si>
  <si>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</si>
  <si>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</si>
  <si>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</si>
  <si>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</si>
  <si>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</si>
  <si>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</si>
  <si>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 xml:space="preserve">  2.1.3</t>
  </si>
  <si>
    <t>Proceeds from disposal of investments</t>
  </si>
  <si>
    <t xml:space="preserve">  2.1.4</t>
  </si>
  <si>
    <t>Proceeds from disposal of other non current assets</t>
  </si>
  <si>
    <t xml:space="preserve">  2.1.5</t>
  </si>
  <si>
    <t>Repayment of loan receivables, reimbursement of prepayments</t>
  </si>
  <si>
    <t xml:space="preserve">  2.1.6</t>
  </si>
  <si>
    <t>Interest received</t>
  </si>
  <si>
    <t xml:space="preserve">  2.1.7</t>
  </si>
  <si>
    <t>Dividends received</t>
  </si>
  <si>
    <t xml:space="preserve">  2.2.1</t>
  </si>
  <si>
    <t>Additions to property, plant and equipment</t>
  </si>
  <si>
    <t xml:space="preserve">  2.2.2</t>
  </si>
  <si>
    <t>Additions to intangible assets</t>
  </si>
  <si>
    <t xml:space="preserve">  2.2.3</t>
  </si>
  <si>
    <t>Investments</t>
  </si>
  <si>
    <t xml:space="preserve">  2.2.4</t>
  </si>
  <si>
    <t>Acquisition of other assets</t>
  </si>
  <si>
    <t xml:space="preserve">  2.2.5</t>
  </si>
  <si>
    <t>Loans provided, and prepayments</t>
  </si>
  <si>
    <t xml:space="preserve">   2.2.6</t>
  </si>
  <si>
    <t xml:space="preserve"> 2.3</t>
  </si>
  <si>
    <t xml:space="preserve">Net cash flow used in investing activities </t>
  </si>
  <si>
    <t>Cash flows from financing activities</t>
  </si>
  <si>
    <t xml:space="preserve">  3.1.1</t>
  </si>
  <si>
    <t>Bank loans and bonds</t>
  </si>
  <si>
    <t xml:space="preserve">  3.1.2</t>
  </si>
  <si>
    <t xml:space="preserve">  3.1.3</t>
  </si>
  <si>
    <t xml:space="preserve">  3.2.1</t>
  </si>
  <si>
    <t>Repayment of loans and debts</t>
  </si>
  <si>
    <t xml:space="preserve">  3.2.2</t>
  </si>
  <si>
    <t>Financial leases</t>
  </si>
  <si>
    <t xml:space="preserve">  3.2.3</t>
  </si>
  <si>
    <t>Share repurchase</t>
  </si>
  <si>
    <t xml:space="preserve">  3.2.4</t>
  </si>
  <si>
    <t xml:space="preserve">  3.2.5</t>
  </si>
  <si>
    <t>Donations</t>
  </si>
  <si>
    <t>Net cash used in financing activities</t>
  </si>
  <si>
    <t>Net increase/decrease in cash and cash equivalents</t>
  </si>
  <si>
    <t>Cash and cash equivalents at 01 Jan 2020</t>
  </si>
  <si>
    <t>6</t>
  </si>
  <si>
    <t>Cash and cash equivalents at 30 June 2020</t>
  </si>
  <si>
    <t xml:space="preserve">Net profit (loss)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</si>
</sst>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&quot;₮&quot;_-;\-* #,##0.00&quot;₮&quot;_-;_-* &quot;-&quot;??&quot;₮&quot;_-;_-@_-"/>
    <numFmt numFmtId="165" formatCode="_-* #,##0.00_₮_-;\-* #,##0.00_₮_-;_-* &quot;-&quot;??_₮_-;_-@_-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_(* #,##0.0000_);_(* \(#,##0.0000\);_(* &quot;-&quot;??_);_(@_)"/>
    <numFmt numFmtId="170" formatCode="_-* #,##0_-;\-* #,##0_-;_-* &quot;-&quot;_-;_-@_-"/>
    <numFmt numFmtId="171" formatCode="0.0%"/>
    <numFmt numFmtId="172" formatCode="_-* #,##0_₮_-;\-* #,##0_₮_-;_-* &quot;-&quot;??_₮_-;_-@_-"/>
    <numFmt numFmtId="173" formatCode="_-* #,##0.00_-;\-* #,##0.00_-;_-* &quot;-&quot;??_-;_-@_-"/>
    <numFmt numFmtId="174" formatCode="_-* #,##0[$₮-450]_-;\-* #,##0[$₮-450]_-;_-* &quot;-&quot;[$₮-450]_-;_-@_-"/>
    <numFmt numFmtId="175" formatCode="_-* #,##0.0_₮_-;\-* #,##0.0_₮_-;_-* &quot;-&quot;??_₮_-;_-@_-"/>
    <numFmt numFmtId="176" formatCode="#,##0\ &quot;₮&quot;;[Red]\-#,##0\ &quot;₮&quot;"/>
    <numFmt numFmtId="177" formatCode="_-* #,##0.00\ _₮_-;\-* #,##0.00\ _₮_-;_-* &quot;-&quot;??\ _₮_-;_-@_-"/>
    <numFmt numFmtId="178" formatCode="_-* #,##0.00_р_._-;\-* #,##0.00_р_._-;_-* &quot;-&quot;??_р_._-;_-@_-"/>
    <numFmt numFmtId="179" formatCode="#,##0.0[$₮-450];\-#,##0.0[$₮-450]"/>
    <numFmt numFmtId="180" formatCode="_([$€-2]* #,##0.00_);_([$€-2]* \(#,##0.00\);_([$€-2]* &quot;-&quot;??_)"/>
    <numFmt numFmtId="181" formatCode="#,##0.0"/>
    <numFmt numFmtId="182" formatCode="#,##0.000000000000000"/>
    <numFmt numFmtId="183" formatCode="#,##0.0000"/>
    <numFmt numFmtId="184" formatCode="_(* #,##0.000_);_(* \(#,##0.000\);_(* &quot;-&quot;??_);_(@_)"/>
    <numFmt numFmtId="185" formatCode="[$]dddd\,\ mmmm\ d\,\ 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Mon"/>
      <family val="1"/>
    </font>
    <font>
      <sz val="10"/>
      <name val="Arial"/>
      <family val="2"/>
    </font>
    <font>
      <sz val="11"/>
      <name val="Times New Roman Mon"/>
      <family val="1"/>
    </font>
    <font>
      <sz val="11"/>
      <name val="Arial Mon"/>
      <family val="2"/>
    </font>
    <font>
      <b/>
      <sz val="11"/>
      <name val="Arial Mon"/>
      <family val="2"/>
    </font>
    <font>
      <sz val="10"/>
      <name val="Arial Mon"/>
      <family val="2"/>
    </font>
    <font>
      <sz val="11"/>
      <color indexed="9"/>
      <name val="宋体"/>
      <family val="0"/>
    </font>
    <font>
      <sz val="8"/>
      <name val="Tahoma"/>
      <family val="2"/>
    </font>
    <font>
      <sz val="12"/>
      <name val="Times New Roman Mon"/>
      <family val="1"/>
    </font>
    <font>
      <sz val="10"/>
      <name val="Arial Cyr"/>
      <family val="0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sz val="10"/>
      <name val="Times New Roman Mon"/>
      <family val="1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b/>
      <sz val="8"/>
      <name val="Arial Unicode MS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name val="Arial"/>
      <family val="2"/>
    </font>
    <font>
      <sz val="10"/>
      <color indexed="9"/>
      <name val="Times New Roman Mon"/>
      <family val="1"/>
    </font>
    <font>
      <sz val="7"/>
      <color indexed="9"/>
      <name val="Times New Roman Mo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Mo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 Mon"/>
      <family val="1"/>
    </font>
    <font>
      <sz val="9"/>
      <color indexed="8"/>
      <name val="Times New Roman"/>
      <family val="1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Times New Roman Mon"/>
      <family val="1"/>
    </font>
    <font>
      <sz val="11"/>
      <color indexed="8"/>
      <name val="Times New Roman Mon"/>
      <family val="1"/>
    </font>
    <font>
      <b/>
      <sz val="10"/>
      <color indexed="8"/>
      <name val="Times New Roman Mon"/>
      <family val="1"/>
    </font>
    <font>
      <b/>
      <sz val="10"/>
      <color indexed="9"/>
      <name val="Arial Unicode MS"/>
      <family val="2"/>
    </font>
    <font>
      <sz val="11"/>
      <name val="Calibri"/>
      <family val="2"/>
    </font>
    <font>
      <sz val="10"/>
      <color indexed="9"/>
      <name val="Arial Unicode MS"/>
      <family val="2"/>
    </font>
    <font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Arial Mon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 Mon"/>
      <family val="1"/>
    </font>
    <font>
      <sz val="9"/>
      <color theme="1"/>
      <name val="Times New Roman"/>
      <family val="1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theme="0"/>
      <name val="Times New Roman Mon"/>
      <family val="1"/>
    </font>
    <font>
      <sz val="11"/>
      <color theme="1"/>
      <name val="Times New Roman Mon"/>
      <family val="1"/>
    </font>
    <font>
      <b/>
      <sz val="10"/>
      <color theme="1"/>
      <name val="Times New Roman Mon"/>
      <family val="1"/>
    </font>
    <font>
      <b/>
      <sz val="10"/>
      <color theme="0"/>
      <name val="Arial Unicode MS"/>
      <family val="2"/>
    </font>
    <font>
      <sz val="10"/>
      <color theme="0"/>
      <name val="Arial Unicode MS"/>
      <family val="2"/>
    </font>
    <font>
      <sz val="10"/>
      <color theme="1"/>
      <name val="Arial Unicode MS"/>
      <family val="2"/>
    </font>
    <font>
      <sz val="10"/>
      <color rgb="FFFF0000"/>
      <name val="Arial Unicode MS"/>
      <family val="2"/>
    </font>
    <font>
      <sz val="10"/>
      <color rgb="FFFFFFFF"/>
      <name val="Times New Roman Mo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60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/>
      <bottom style="dashed">
        <color indexed="2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 style="medium">
        <color rgb="FFFFFFFF"/>
      </left>
      <right/>
      <top/>
      <bottom style="thick">
        <color rgb="FFFFFFFF"/>
      </bottom>
    </border>
    <border>
      <left style="medium">
        <color rgb="FFFFFFFF"/>
      </left>
      <right/>
      <top style="medium">
        <color rgb="FFFFFFFF"/>
      </top>
      <bottom style="thick">
        <color rgb="FFFFFFFF"/>
      </bottom>
    </border>
    <border>
      <left/>
      <right/>
      <top style="medium">
        <color rgb="FFFFFFFF"/>
      </top>
      <bottom style="thick">
        <color rgb="FFFFFFFF"/>
      </bottom>
    </border>
    <border>
      <left/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/>
      <top style="thick">
        <color rgb="FFFFFFFF"/>
      </top>
      <bottom style="medium">
        <color rgb="FFFFFFFF"/>
      </bottom>
    </border>
    <border>
      <left/>
      <right style="medium">
        <color rgb="FFFFFFFF"/>
      </right>
      <top style="thick">
        <color rgb="FFFFFFFF"/>
      </top>
      <bottom style="medium">
        <color rgb="FFFFFFF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</borders>
  <cellStyleXfs count="1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8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37" fontId="9" fillId="27" borderId="1" applyBorder="0" applyProtection="0">
      <alignment vertical="center"/>
    </xf>
    <xf numFmtId="0" fontId="64" fillId="28" borderId="0" applyNumberFormat="0" applyBorder="0" applyAlignment="0" applyProtection="0"/>
    <xf numFmtId="0" fontId="65" fillId="29" borderId="2" applyNumberFormat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67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7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37" fontId="13" fillId="0" borderId="4">
      <alignment vertical="center"/>
      <protection/>
    </xf>
    <xf numFmtId="0" fontId="13" fillId="32" borderId="5" applyNumberFormat="0">
      <alignment horizontal="left" vertical="top" indent="1"/>
      <protection/>
    </xf>
    <xf numFmtId="0" fontId="13" fillId="27" borderId="0" applyBorder="0">
      <alignment horizontal="left" vertical="center" indent="1"/>
      <protection/>
    </xf>
    <xf numFmtId="0" fontId="13" fillId="0" borderId="5" applyNumberFormat="0" applyFill="0">
      <alignment horizontal="centerContinuous" vertical="top"/>
      <protection/>
    </xf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33" borderId="2" applyNumberFormat="0" applyAlignment="0" applyProtection="0"/>
    <xf numFmtId="0" fontId="78" fillId="0" borderId="9" applyNumberFormat="0" applyFill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0" applyNumberFormat="0" applyFont="0" applyAlignment="0" applyProtection="0"/>
    <xf numFmtId="0" fontId="82" fillId="29" borderId="1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2" applyNumberFormat="0" applyFill="0" applyAlignment="0" applyProtection="0"/>
    <xf numFmtId="0" fontId="85" fillId="0" borderId="0" applyNumberFormat="0" applyFill="0" applyBorder="0" applyAlignment="0" applyProtection="0"/>
  </cellStyleXfs>
  <cellXfs count="439">
    <xf numFmtId="0" fontId="0" fillId="0" borderId="0" xfId="0" applyFont="1" applyAlignment="1">
      <alignment/>
    </xf>
    <xf numFmtId="43" fontId="4" fillId="0" borderId="13" xfId="510" applyNumberFormat="1" applyFont="1" applyBorder="1" applyAlignment="1">
      <alignment/>
    </xf>
    <xf numFmtId="166" fontId="4" fillId="0" borderId="13" xfId="510" applyNumberFormat="1" applyFont="1" applyBorder="1" applyAlignment="1">
      <alignment/>
    </xf>
    <xf numFmtId="43" fontId="2" fillId="0" borderId="13" xfId="510" applyNumberFormat="1" applyFont="1" applyBorder="1" applyAlignment="1">
      <alignment/>
    </xf>
    <xf numFmtId="0" fontId="4" fillId="0" borderId="0" xfId="740" applyFont="1" applyAlignment="1">
      <alignment vertical="center"/>
      <protection/>
    </xf>
    <xf numFmtId="0" fontId="2" fillId="0" borderId="0" xfId="740" applyFont="1" applyAlignment="1">
      <alignment vertical="center"/>
      <protection/>
    </xf>
    <xf numFmtId="43" fontId="4" fillId="0" borderId="0" xfId="740" applyNumberFormat="1" applyFont="1" applyAlignment="1">
      <alignment vertical="center"/>
      <protection/>
    </xf>
    <xf numFmtId="0" fontId="4" fillId="0" borderId="0" xfId="740" applyFont="1">
      <alignment/>
      <protection/>
    </xf>
    <xf numFmtId="43" fontId="4" fillId="0" borderId="0" xfId="740" applyNumberFormat="1" applyFont="1">
      <alignment/>
      <protection/>
    </xf>
    <xf numFmtId="0" fontId="2" fillId="0" borderId="0" xfId="740" applyFont="1">
      <alignment/>
      <protection/>
    </xf>
    <xf numFmtId="166" fontId="4" fillId="0" borderId="0" xfId="740" applyNumberFormat="1" applyFont="1">
      <alignment/>
      <protection/>
    </xf>
    <xf numFmtId="166" fontId="4" fillId="0" borderId="0" xfId="44" applyNumberFormat="1" applyFont="1" applyAlignment="1">
      <alignment/>
    </xf>
    <xf numFmtId="0" fontId="2" fillId="0" borderId="0" xfId="740" applyFont="1" applyAlignment="1">
      <alignment horizontal="center"/>
      <protection/>
    </xf>
    <xf numFmtId="43" fontId="2" fillId="0" borderId="0" xfId="740" applyNumberFormat="1" applyFont="1" applyAlignment="1">
      <alignment vertical="center"/>
      <protection/>
    </xf>
    <xf numFmtId="166" fontId="2" fillId="0" borderId="0" xfId="740" applyNumberFormat="1" applyFont="1" applyAlignment="1">
      <alignment vertical="center"/>
      <protection/>
    </xf>
    <xf numFmtId="168" fontId="4" fillId="0" borderId="0" xfId="740" applyNumberFormat="1" applyFont="1" applyAlignment="1">
      <alignment vertical="center"/>
      <protection/>
    </xf>
    <xf numFmtId="43" fontId="4" fillId="0" borderId="0" xfId="44" applyFont="1" applyAlignment="1">
      <alignment vertical="center"/>
    </xf>
    <xf numFmtId="43" fontId="4" fillId="0" borderId="0" xfId="44" applyFont="1" applyAlignment="1">
      <alignment horizontal="right" vertical="center"/>
    </xf>
    <xf numFmtId="0" fontId="5" fillId="0" borderId="0" xfId="740" applyFont="1" applyAlignment="1">
      <alignment horizontal="left" vertical="center"/>
      <protection/>
    </xf>
    <xf numFmtId="167" fontId="15" fillId="0" borderId="14" xfId="0" applyNumberFormat="1" applyFont="1" applyBorder="1" applyAlignment="1">
      <alignment horizontal="left" vertical="center" wrapText="1"/>
    </xf>
    <xf numFmtId="167" fontId="15" fillId="0" borderId="14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14" xfId="0" applyFont="1" applyBorder="1" applyAlignment="1">
      <alignment horizontal="center" vertical="center" wrapText="1"/>
    </xf>
    <xf numFmtId="181" fontId="15" fillId="0" borderId="14" xfId="0" applyNumberFormat="1" applyFont="1" applyBorder="1" applyAlignment="1">
      <alignment horizontal="right" vertical="center" wrapText="1"/>
    </xf>
    <xf numFmtId="167" fontId="16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43" fontId="15" fillId="0" borderId="14" xfId="44" applyFont="1" applyBorder="1" applyAlignment="1">
      <alignment horizontal="right" vertical="center" wrapText="1"/>
    </xf>
    <xf numFmtId="167" fontId="17" fillId="0" borderId="14" xfId="0" applyNumberFormat="1" applyFont="1" applyBorder="1" applyAlignment="1">
      <alignment horizontal="left" vertical="center" wrapText="1"/>
    </xf>
    <xf numFmtId="167" fontId="18" fillId="0" borderId="14" xfId="0" applyNumberFormat="1" applyFont="1" applyBorder="1" applyAlignment="1">
      <alignment horizontal="left" vertical="center" wrapText="1"/>
    </xf>
    <xf numFmtId="167" fontId="15" fillId="5" borderId="14" xfId="0" applyNumberFormat="1" applyFont="1" applyFill="1" applyBorder="1" applyAlignment="1">
      <alignment horizontal="left" vertical="center" wrapText="1"/>
    </xf>
    <xf numFmtId="167" fontId="16" fillId="8" borderId="14" xfId="0" applyNumberFormat="1" applyFont="1" applyFill="1" applyBorder="1" applyAlignment="1">
      <alignment horizontal="left" vertical="center" wrapText="1"/>
    </xf>
    <xf numFmtId="167" fontId="15" fillId="11" borderId="14" xfId="0" applyNumberFormat="1" applyFont="1" applyFill="1" applyBorder="1" applyAlignment="1">
      <alignment horizontal="left" vertical="center" wrapText="1"/>
    </xf>
    <xf numFmtId="167" fontId="15" fillId="8" borderId="14" xfId="0" applyNumberFormat="1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9" fontId="4" fillId="0" borderId="0" xfId="1026" applyFont="1" applyAlignment="1">
      <alignment/>
    </xf>
    <xf numFmtId="166" fontId="4" fillId="0" borderId="15" xfId="510" applyNumberFormat="1" applyFont="1" applyBorder="1" applyAlignment="1">
      <alignment/>
    </xf>
    <xf numFmtId="0" fontId="2" fillId="0" borderId="15" xfId="740" applyFont="1" applyBorder="1" applyAlignment="1">
      <alignment wrapText="1"/>
      <protection/>
    </xf>
    <xf numFmtId="0" fontId="2" fillId="0" borderId="16" xfId="740" applyFont="1" applyBorder="1" applyAlignment="1">
      <alignment horizontal="left" wrapText="1"/>
      <protection/>
    </xf>
    <xf numFmtId="0" fontId="2" fillId="0" borderId="13" xfId="740" applyFont="1" applyBorder="1" applyAlignment="1">
      <alignment wrapText="1"/>
      <protection/>
    </xf>
    <xf numFmtId="0" fontId="2" fillId="0" borderId="17" xfId="740" applyFont="1" applyBorder="1" applyAlignment="1">
      <alignment horizontal="left" wrapText="1"/>
      <protection/>
    </xf>
    <xf numFmtId="0" fontId="2" fillId="0" borderId="13" xfId="740" applyFont="1" applyBorder="1" applyAlignment="1">
      <alignment horizontal="left" wrapText="1"/>
      <protection/>
    </xf>
    <xf numFmtId="0" fontId="2" fillId="27" borderId="13" xfId="740" applyFont="1" applyFill="1" applyBorder="1" applyAlignment="1">
      <alignment wrapText="1"/>
      <protection/>
    </xf>
    <xf numFmtId="167" fontId="2" fillId="27" borderId="17" xfId="740" applyNumberFormat="1" applyFont="1" applyFill="1" applyBorder="1" applyAlignment="1">
      <alignment horizontal="left" wrapText="1"/>
      <protection/>
    </xf>
    <xf numFmtId="43" fontId="2" fillId="0" borderId="13" xfId="740" applyNumberFormat="1" applyFont="1" applyBorder="1">
      <alignment/>
      <protection/>
    </xf>
    <xf numFmtId="0" fontId="4" fillId="27" borderId="13" xfId="740" applyFont="1" applyFill="1" applyBorder="1" applyAlignment="1">
      <alignment wrapText="1"/>
      <protection/>
    </xf>
    <xf numFmtId="14" fontId="4" fillId="0" borderId="17" xfId="740" applyNumberFormat="1" applyFont="1" applyBorder="1" applyAlignment="1">
      <alignment horizontal="left" wrapText="1"/>
      <protection/>
    </xf>
    <xf numFmtId="0" fontId="4" fillId="0" borderId="13" xfId="740" applyFont="1" applyBorder="1" applyAlignment="1">
      <alignment horizontal="left" wrapText="1" indent="2"/>
      <protection/>
    </xf>
    <xf numFmtId="0" fontId="4" fillId="0" borderId="17" xfId="740" applyNumberFormat="1" applyFont="1" applyBorder="1" applyAlignment="1">
      <alignment horizontal="left" wrapText="1"/>
      <protection/>
    </xf>
    <xf numFmtId="0" fontId="4" fillId="0" borderId="13" xfId="740" applyFont="1" applyBorder="1" applyAlignment="1">
      <alignment wrapText="1"/>
      <protection/>
    </xf>
    <xf numFmtId="0" fontId="4" fillId="0" borderId="17" xfId="740" applyFont="1" applyBorder="1" applyAlignment="1">
      <alignment horizontal="left" wrapText="1"/>
      <protection/>
    </xf>
    <xf numFmtId="166" fontId="2" fillId="0" borderId="13" xfId="740" applyNumberFormat="1" applyFont="1" applyBorder="1">
      <alignment/>
      <protection/>
    </xf>
    <xf numFmtId="167" fontId="2" fillId="0" borderId="17" xfId="740" applyNumberFormat="1" applyFont="1" applyBorder="1" applyAlignment="1">
      <alignment horizontal="left" wrapText="1"/>
      <protection/>
    </xf>
    <xf numFmtId="167" fontId="4" fillId="0" borderId="17" xfId="740" applyNumberFormat="1" applyFont="1" applyBorder="1" applyAlignment="1">
      <alignment horizontal="left" wrapText="1"/>
      <protection/>
    </xf>
    <xf numFmtId="0" fontId="4" fillId="0" borderId="17" xfId="740" applyFont="1" applyBorder="1" applyAlignment="1">
      <alignment horizontal="center" wrapText="1"/>
      <protection/>
    </xf>
    <xf numFmtId="0" fontId="2" fillId="0" borderId="17" xfId="740" applyFont="1" applyBorder="1" applyAlignment="1">
      <alignment horizontal="center" wrapText="1"/>
      <protection/>
    </xf>
    <xf numFmtId="167" fontId="2" fillId="0" borderId="17" xfId="740" applyNumberFormat="1" applyFont="1" applyBorder="1" applyAlignment="1">
      <alignment horizontal="center" wrapText="1"/>
      <protection/>
    </xf>
    <xf numFmtId="0" fontId="4" fillId="0" borderId="17" xfId="740" applyFont="1" applyBorder="1" applyAlignment="1">
      <alignment wrapText="1"/>
      <protection/>
    </xf>
    <xf numFmtId="0" fontId="4" fillId="0" borderId="17" xfId="510" applyNumberFormat="1" applyFont="1" applyBorder="1" applyAlignment="1">
      <alignment horizontal="center" wrapText="1"/>
    </xf>
    <xf numFmtId="43" fontId="4" fillId="0" borderId="13" xfId="510" applyNumberFormat="1" applyFont="1" applyFill="1" applyBorder="1" applyAlignment="1">
      <alignment/>
    </xf>
    <xf numFmtId="0" fontId="4" fillId="0" borderId="18" xfId="740" applyFont="1" applyBorder="1" applyAlignment="1">
      <alignment horizontal="center" vertical="center" wrapText="1"/>
      <protection/>
    </xf>
    <xf numFmtId="0" fontId="4" fillId="0" borderId="19" xfId="740" applyFont="1" applyBorder="1" applyAlignment="1">
      <alignment horizontal="center" vertical="center" wrapText="1"/>
      <protection/>
    </xf>
    <xf numFmtId="0" fontId="2" fillId="0" borderId="20" xfId="740" applyFont="1" applyBorder="1" applyAlignment="1">
      <alignment horizontal="center"/>
      <protection/>
    </xf>
    <xf numFmtId="0" fontId="4" fillId="0" borderId="0" xfId="740" applyFont="1" applyAlignment="1">
      <alignment horizontal="left"/>
      <protection/>
    </xf>
    <xf numFmtId="43" fontId="0" fillId="0" borderId="0" xfId="0" applyNumberFormat="1" applyAlignment="1">
      <alignment/>
    </xf>
    <xf numFmtId="0" fontId="16" fillId="0" borderId="13" xfId="0" applyFont="1" applyBorder="1" applyAlignment="1">
      <alignment horizontal="center" vertical="center" wrapText="1"/>
    </xf>
    <xf numFmtId="167" fontId="15" fillId="0" borderId="13" xfId="0" applyNumberFormat="1" applyFont="1" applyBorder="1" applyAlignment="1">
      <alignment horizontal="left" vertical="center" wrapText="1"/>
    </xf>
    <xf numFmtId="167" fontId="16" fillId="0" borderId="13" xfId="0" applyNumberFormat="1" applyFont="1" applyBorder="1" applyAlignment="1">
      <alignment horizontal="left" vertical="center" wrapText="1"/>
    </xf>
    <xf numFmtId="43" fontId="15" fillId="0" borderId="13" xfId="44" applyFont="1" applyBorder="1" applyAlignment="1">
      <alignment horizontal="right" vertical="center" wrapText="1"/>
    </xf>
    <xf numFmtId="166" fontId="0" fillId="0" borderId="13" xfId="44" applyNumberFormat="1" applyFont="1" applyBorder="1" applyAlignment="1">
      <alignment/>
    </xf>
    <xf numFmtId="0" fontId="16" fillId="0" borderId="13" xfId="0" applyFont="1" applyBorder="1" applyAlignment="1">
      <alignment/>
    </xf>
    <xf numFmtId="166" fontId="84" fillId="0" borderId="13" xfId="44" applyNumberFormat="1" applyFont="1" applyBorder="1" applyAlignment="1">
      <alignment/>
    </xf>
    <xf numFmtId="167" fontId="7" fillId="0" borderId="14" xfId="0" applyNumberFormat="1" applyFont="1" applyBorder="1" applyAlignment="1">
      <alignment horizontal="left" vertical="center" wrapText="1"/>
    </xf>
    <xf numFmtId="166" fontId="86" fillId="0" borderId="21" xfId="44" applyNumberFormat="1" applyFont="1" applyBorder="1" applyAlignment="1">
      <alignment horizontal="justify" vertical="top" wrapText="1"/>
    </xf>
    <xf numFmtId="43" fontId="86" fillId="0" borderId="21" xfId="44" applyFont="1" applyBorder="1" applyAlignment="1">
      <alignment wrapText="1"/>
    </xf>
    <xf numFmtId="166" fontId="86" fillId="0" borderId="21" xfId="44" applyNumberFormat="1" applyFont="1" applyBorder="1" applyAlignment="1">
      <alignment wrapText="1"/>
    </xf>
    <xf numFmtId="166" fontId="86" fillId="0" borderId="21" xfId="44" applyNumberFormat="1" applyFont="1" applyBorder="1" applyAlignment="1">
      <alignment vertical="top" wrapText="1"/>
    </xf>
    <xf numFmtId="43" fontId="86" fillId="0" borderId="21" xfId="44" applyNumberFormat="1" applyFont="1" applyBorder="1" applyAlignment="1">
      <alignment vertical="top" wrapText="1"/>
    </xf>
    <xf numFmtId="165" fontId="86" fillId="0" borderId="21" xfId="44" applyNumberFormat="1" applyFont="1" applyBorder="1" applyAlignment="1">
      <alignment wrapText="1"/>
    </xf>
    <xf numFmtId="168" fontId="86" fillId="0" borderId="21" xfId="44" applyNumberFormat="1" applyFont="1" applyBorder="1" applyAlignment="1">
      <alignment wrapText="1"/>
    </xf>
    <xf numFmtId="166" fontId="86" fillId="36" borderId="21" xfId="44" applyNumberFormat="1" applyFont="1" applyFill="1" applyBorder="1" applyAlignment="1">
      <alignment horizontal="justify" vertical="top" wrapText="1"/>
    </xf>
    <xf numFmtId="43" fontId="86" fillId="36" borderId="21" xfId="44" applyFont="1" applyFill="1" applyBorder="1" applyAlignment="1">
      <alignment wrapText="1"/>
    </xf>
    <xf numFmtId="166" fontId="86" fillId="36" borderId="21" xfId="44" applyNumberFormat="1" applyFont="1" applyFill="1" applyBorder="1" applyAlignment="1">
      <alignment wrapText="1"/>
    </xf>
    <xf numFmtId="166" fontId="86" fillId="36" borderId="21" xfId="44" applyNumberFormat="1" applyFont="1" applyFill="1" applyBorder="1" applyAlignment="1">
      <alignment vertical="top" wrapText="1"/>
    </xf>
    <xf numFmtId="43" fontId="86" fillId="36" borderId="21" xfId="44" applyNumberFormat="1" applyFont="1" applyFill="1" applyBorder="1" applyAlignment="1">
      <alignment vertical="top" wrapText="1"/>
    </xf>
    <xf numFmtId="43" fontId="86" fillId="0" borderId="21" xfId="44" applyFont="1" applyBorder="1" applyAlignment="1">
      <alignment horizontal="justify" vertical="top" wrapText="1"/>
    </xf>
    <xf numFmtId="43" fontId="87" fillId="0" borderId="0" xfId="0" applyNumberFormat="1" applyFont="1" applyAlignment="1">
      <alignment/>
    </xf>
    <xf numFmtId="168" fontId="86" fillId="0" borderId="21" xfId="44" applyNumberFormat="1" applyFont="1" applyBorder="1" applyAlignment="1">
      <alignment horizontal="justify" vertical="top" wrapText="1"/>
    </xf>
    <xf numFmtId="43" fontId="86" fillId="0" borderId="21" xfId="44" applyFont="1" applyBorder="1" applyAlignment="1">
      <alignment vertical="top" wrapText="1"/>
    </xf>
    <xf numFmtId="0" fontId="16" fillId="0" borderId="0" xfId="0" applyFont="1" applyAlignment="1">
      <alignment/>
    </xf>
    <xf numFmtId="181" fontId="7" fillId="0" borderId="14" xfId="0" applyNumberFormat="1" applyFont="1" applyBorder="1" applyAlignment="1">
      <alignment horizontal="right" vertical="center" wrapText="1"/>
    </xf>
    <xf numFmtId="167" fontId="15" fillId="0" borderId="14" xfId="0" applyNumberFormat="1" applyFont="1" applyBorder="1" applyAlignment="1">
      <alignment horizontal="left" vertical="center" wrapText="1"/>
    </xf>
    <xf numFmtId="0" fontId="21" fillId="0" borderId="0" xfId="742" applyFont="1">
      <alignment/>
      <protection/>
    </xf>
    <xf numFmtId="0" fontId="22" fillId="0" borderId="0" xfId="742" applyFont="1">
      <alignment/>
      <protection/>
    </xf>
    <xf numFmtId="166" fontId="21" fillId="0" borderId="0" xfId="44" applyNumberFormat="1" applyFont="1" applyAlignment="1">
      <alignment/>
    </xf>
    <xf numFmtId="0" fontId="4" fillId="0" borderId="0" xfId="742" applyFont="1" applyAlignment="1">
      <alignment horizontal="left"/>
      <protection/>
    </xf>
    <xf numFmtId="0" fontId="2" fillId="0" borderId="0" xfId="742" applyFont="1">
      <alignment/>
      <protection/>
    </xf>
    <xf numFmtId="0" fontId="4" fillId="0" borderId="0" xfId="742" applyFont="1">
      <alignment/>
      <protection/>
    </xf>
    <xf numFmtId="166" fontId="4" fillId="0" borderId="0" xfId="44" applyNumberFormat="1" applyFont="1" applyAlignment="1">
      <alignment horizontal="right"/>
    </xf>
    <xf numFmtId="0" fontId="21" fillId="0" borderId="0" xfId="742" applyFont="1" applyAlignment="1">
      <alignment horizontal="center" vertical="center" wrapText="1"/>
      <protection/>
    </xf>
    <xf numFmtId="0" fontId="4" fillId="0" borderId="13" xfId="742" applyFont="1" applyBorder="1" applyAlignment="1">
      <alignment horizontal="center" wrapText="1"/>
      <protection/>
    </xf>
    <xf numFmtId="0" fontId="2" fillId="37" borderId="13" xfId="742" applyFont="1" applyFill="1" applyBorder="1" applyAlignment="1">
      <alignment wrapText="1"/>
      <protection/>
    </xf>
    <xf numFmtId="166" fontId="4" fillId="0" borderId="13" xfId="44" applyNumberFormat="1" applyFont="1" applyBorder="1" applyAlignment="1">
      <alignment/>
    </xf>
    <xf numFmtId="166" fontId="2" fillId="0" borderId="13" xfId="44" applyNumberFormat="1" applyFont="1" applyBorder="1" applyAlignment="1">
      <alignment/>
    </xf>
    <xf numFmtId="43" fontId="21" fillId="0" borderId="0" xfId="742" applyNumberFormat="1" applyFont="1">
      <alignment/>
      <protection/>
    </xf>
    <xf numFmtId="0" fontId="4" fillId="0" borderId="13" xfId="742" applyFont="1" applyBorder="1" applyAlignment="1">
      <alignment wrapText="1"/>
      <protection/>
    </xf>
    <xf numFmtId="0" fontId="2" fillId="0" borderId="13" xfId="742" applyFont="1" applyBorder="1" applyAlignment="1">
      <alignment horizontal="center" wrapText="1"/>
      <protection/>
    </xf>
    <xf numFmtId="0" fontId="4" fillId="0" borderId="13" xfId="742" applyFont="1" applyBorder="1" applyAlignment="1">
      <alignment horizontal="left" wrapText="1"/>
      <protection/>
    </xf>
    <xf numFmtId="166" fontId="2" fillId="37" borderId="13" xfId="44" applyNumberFormat="1" applyFont="1" applyFill="1" applyBorder="1" applyAlignment="1">
      <alignment/>
    </xf>
    <xf numFmtId="0" fontId="2" fillId="37" borderId="13" xfId="742" applyFont="1" applyFill="1" applyBorder="1" applyAlignment="1">
      <alignment horizontal="center" wrapText="1"/>
      <protection/>
    </xf>
    <xf numFmtId="0" fontId="4" fillId="0" borderId="0" xfId="742" applyFont="1" applyAlignment="1">
      <alignment horizontal="center"/>
      <protection/>
    </xf>
    <xf numFmtId="166" fontId="14" fillId="0" borderId="0" xfId="44" applyNumberFormat="1" applyFont="1" applyAlignment="1">
      <alignment/>
    </xf>
    <xf numFmtId="168" fontId="4" fillId="0" borderId="0" xfId="44" applyNumberFormat="1" applyFont="1" applyAlignment="1">
      <alignment/>
    </xf>
    <xf numFmtId="0" fontId="4" fillId="0" borderId="0" xfId="742" applyFont="1" applyAlignment="1">
      <alignment vertical="center"/>
      <protection/>
    </xf>
    <xf numFmtId="166" fontId="4" fillId="0" borderId="0" xfId="44" applyNumberFormat="1" applyFont="1" applyAlignment="1">
      <alignment vertical="center"/>
    </xf>
    <xf numFmtId="0" fontId="21" fillId="0" borderId="0" xfId="742" applyFont="1" applyAlignment="1">
      <alignment vertical="center"/>
      <protection/>
    </xf>
    <xf numFmtId="166" fontId="21" fillId="0" borderId="0" xfId="44" applyNumberFormat="1" applyFont="1" applyAlignment="1">
      <alignment vertical="center"/>
    </xf>
    <xf numFmtId="166" fontId="10" fillId="0" borderId="0" xfId="44" applyNumberFormat="1" applyFont="1" applyAlignment="1">
      <alignment vertical="center"/>
    </xf>
    <xf numFmtId="43" fontId="21" fillId="0" borderId="0" xfId="44" applyFont="1" applyAlignment="1">
      <alignment/>
    </xf>
    <xf numFmtId="0" fontId="16" fillId="0" borderId="0" xfId="941" applyFont="1">
      <alignment/>
      <protection/>
    </xf>
    <xf numFmtId="0" fontId="3" fillId="0" borderId="0" xfId="941">
      <alignment/>
      <protection/>
    </xf>
    <xf numFmtId="0" fontId="16" fillId="0" borderId="14" xfId="941" applyFont="1" applyBorder="1" applyAlignment="1">
      <alignment horizontal="center" vertical="center" wrapText="1"/>
      <protection/>
    </xf>
    <xf numFmtId="167" fontId="15" fillId="0" borderId="14" xfId="941" applyNumberFormat="1" applyFont="1" applyBorder="1" applyAlignment="1">
      <alignment horizontal="left" vertical="center" wrapText="1"/>
      <protection/>
    </xf>
    <xf numFmtId="167" fontId="16" fillId="0" borderId="14" xfId="941" applyNumberFormat="1" applyFont="1" applyBorder="1" applyAlignment="1">
      <alignment horizontal="left" vertical="center" wrapText="1"/>
      <protection/>
    </xf>
    <xf numFmtId="181" fontId="3" fillId="0" borderId="0" xfId="941" applyNumberFormat="1">
      <alignment/>
      <protection/>
    </xf>
    <xf numFmtId="43" fontId="3" fillId="0" borderId="0" xfId="941" applyNumberFormat="1">
      <alignment/>
      <protection/>
    </xf>
    <xf numFmtId="181" fontId="0" fillId="0" borderId="0" xfId="0" applyNumberFormat="1" applyAlignment="1">
      <alignment/>
    </xf>
    <xf numFmtId="43" fontId="4" fillId="0" borderId="22" xfId="44" applyFont="1" applyBorder="1" applyAlignment="1">
      <alignment/>
    </xf>
    <xf numFmtId="43" fontId="2" fillId="0" borderId="0" xfId="740" applyNumberFormat="1" applyFont="1" applyBorder="1" applyAlignment="1">
      <alignment vertical="center"/>
      <protection/>
    </xf>
    <xf numFmtId="43" fontId="2" fillId="0" borderId="22" xfId="44" applyFont="1" applyBorder="1" applyAlignment="1">
      <alignment/>
    </xf>
    <xf numFmtId="43" fontId="4" fillId="0" borderId="23" xfId="44" applyFont="1" applyBorder="1" applyAlignment="1">
      <alignment/>
    </xf>
    <xf numFmtId="43" fontId="4" fillId="0" borderId="24" xfId="44" applyFont="1" applyBorder="1" applyAlignment="1">
      <alignment horizontal="center" vertical="center" wrapText="1"/>
    </xf>
    <xf numFmtId="166" fontId="4" fillId="0" borderId="13" xfId="740" applyNumberFormat="1" applyFont="1" applyBorder="1">
      <alignment/>
      <protection/>
    </xf>
    <xf numFmtId="43" fontId="4" fillId="0" borderId="13" xfId="740" applyNumberFormat="1" applyFont="1" applyBorder="1">
      <alignment/>
      <protection/>
    </xf>
    <xf numFmtId="1" fontId="15" fillId="0" borderId="14" xfId="941" applyNumberFormat="1" applyFont="1" applyBorder="1" applyAlignment="1">
      <alignment horizontal="left" vertical="center" wrapText="1"/>
      <protection/>
    </xf>
    <xf numFmtId="43" fontId="6" fillId="0" borderId="0" xfId="510" applyNumberFormat="1" applyFont="1" applyBorder="1" applyAlignment="1">
      <alignment/>
    </xf>
    <xf numFmtId="43" fontId="4" fillId="0" borderId="0" xfId="44" applyFont="1" applyAlignment="1">
      <alignment/>
    </xf>
    <xf numFmtId="43" fontId="4" fillId="0" borderId="0" xfId="44" applyFont="1" applyAlignment="1">
      <alignment horizontal="right"/>
    </xf>
    <xf numFmtId="0" fontId="0" fillId="0" borderId="0" xfId="0" applyAlignment="1">
      <alignment/>
    </xf>
    <xf numFmtId="0" fontId="88" fillId="38" borderId="25" xfId="0" applyFont="1" applyFill="1" applyBorder="1" applyAlignment="1">
      <alignment vertical="center" wrapText="1"/>
    </xf>
    <xf numFmtId="0" fontId="89" fillId="39" borderId="26" xfId="0" applyFont="1" applyFill="1" applyBorder="1" applyAlignment="1">
      <alignment vertical="center" wrapText="1"/>
    </xf>
    <xf numFmtId="0" fontId="89" fillId="39" borderId="27" xfId="0" applyFont="1" applyFill="1" applyBorder="1" applyAlignment="1">
      <alignment vertical="center" wrapText="1"/>
    </xf>
    <xf numFmtId="0" fontId="23" fillId="40" borderId="27" xfId="0" applyFont="1" applyFill="1" applyBorder="1" applyAlignment="1">
      <alignment vertical="top" wrapText="1"/>
    </xf>
    <xf numFmtId="0" fontId="23" fillId="40" borderId="28" xfId="0" applyFont="1" applyFill="1" applyBorder="1" applyAlignment="1">
      <alignment vertical="top" wrapText="1"/>
    </xf>
    <xf numFmtId="0" fontId="89" fillId="40" borderId="28" xfId="0" applyFont="1" applyFill="1" applyBorder="1" applyAlignment="1">
      <alignment vertical="center" wrapText="1"/>
    </xf>
    <xf numFmtId="0" fontId="89" fillId="39" borderId="28" xfId="0" applyFont="1" applyFill="1" applyBorder="1" applyAlignment="1">
      <alignment vertical="center" wrapText="1"/>
    </xf>
    <xf numFmtId="10" fontId="89" fillId="39" borderId="28" xfId="0" applyNumberFormat="1" applyFont="1" applyFill="1" applyBorder="1" applyAlignment="1">
      <alignment vertical="center" wrapText="1"/>
    </xf>
    <xf numFmtId="10" fontId="89" fillId="40" borderId="28" xfId="0" applyNumberFormat="1" applyFont="1" applyFill="1" applyBorder="1" applyAlignment="1">
      <alignment vertical="center" wrapText="1"/>
    </xf>
    <xf numFmtId="0" fontId="23" fillId="39" borderId="28" xfId="0" applyFont="1" applyFill="1" applyBorder="1" applyAlignment="1">
      <alignment vertical="top" wrapText="1"/>
    </xf>
    <xf numFmtId="9" fontId="89" fillId="39" borderId="28" xfId="0" applyNumberFormat="1" applyFont="1" applyFill="1" applyBorder="1" applyAlignment="1">
      <alignment vertical="center" wrapText="1"/>
    </xf>
    <xf numFmtId="9" fontId="89" fillId="40" borderId="28" xfId="0" applyNumberFormat="1" applyFont="1" applyFill="1" applyBorder="1" applyAlignment="1">
      <alignment vertical="center" wrapText="1"/>
    </xf>
    <xf numFmtId="0" fontId="90" fillId="39" borderId="28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91" fillId="41" borderId="0" xfId="740" applyFont="1" applyFill="1">
      <alignment/>
      <protection/>
    </xf>
    <xf numFmtId="43" fontId="91" fillId="41" borderId="0" xfId="740" applyNumberFormat="1" applyFont="1" applyFill="1">
      <alignment/>
      <protection/>
    </xf>
    <xf numFmtId="43" fontId="91" fillId="41" borderId="0" xfId="44" applyFont="1" applyFill="1" applyAlignment="1">
      <alignment/>
    </xf>
    <xf numFmtId="43" fontId="0" fillId="0" borderId="0" xfId="44" applyFont="1" applyAlignment="1">
      <alignment/>
    </xf>
    <xf numFmtId="0" fontId="0" fillId="0" borderId="0" xfId="0" applyAlignment="1">
      <alignment horizontal="left"/>
    </xf>
    <xf numFmtId="0" fontId="0" fillId="42" borderId="0" xfId="0" applyFill="1" applyAlignment="1">
      <alignment horizontal="left"/>
    </xf>
    <xf numFmtId="43" fontId="0" fillId="42" borderId="0" xfId="44" applyFont="1" applyFill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justify"/>
    </xf>
    <xf numFmtId="0" fontId="86" fillId="0" borderId="0" xfId="0" applyFont="1" applyAlignment="1">
      <alignment/>
    </xf>
    <xf numFmtId="0" fontId="86" fillId="0" borderId="0" xfId="0" applyFont="1" applyAlignment="1">
      <alignment horizontal="left" indent="2"/>
    </xf>
    <xf numFmtId="0" fontId="93" fillId="0" borderId="0" xfId="0" applyFont="1" applyAlignment="1">
      <alignment horizontal="justify"/>
    </xf>
    <xf numFmtId="0" fontId="4" fillId="0" borderId="29" xfId="943" applyFont="1" applyBorder="1" applyAlignment="1">
      <alignment/>
      <protection/>
    </xf>
    <xf numFmtId="0" fontId="2" fillId="0" borderId="29" xfId="943" applyFont="1" applyBorder="1" applyAlignment="1">
      <alignment/>
      <protection/>
    </xf>
    <xf numFmtId="0" fontId="94" fillId="43" borderId="0" xfId="0" applyFont="1" applyFill="1" applyAlignment="1">
      <alignment/>
    </xf>
    <xf numFmtId="0" fontId="63" fillId="43" borderId="0" xfId="0" applyFont="1" applyFill="1" applyAlignment="1">
      <alignment/>
    </xf>
    <xf numFmtId="4" fontId="15" fillId="0" borderId="14" xfId="0" applyNumberFormat="1" applyFont="1" applyBorder="1" applyAlignment="1">
      <alignment horizontal="right" vertical="center" wrapText="1"/>
    </xf>
    <xf numFmtId="43" fontId="15" fillId="0" borderId="13" xfId="44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43" fontId="63" fillId="43" borderId="0" xfId="0" applyNumberFormat="1" applyFont="1" applyFill="1" applyAlignment="1">
      <alignment/>
    </xf>
    <xf numFmtId="43" fontId="63" fillId="0" borderId="0" xfId="0" applyNumberFormat="1" applyFont="1" applyAlignment="1">
      <alignment/>
    </xf>
    <xf numFmtId="181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167" fontId="15" fillId="41" borderId="14" xfId="0" applyNumberFormat="1" applyFont="1" applyFill="1" applyBorder="1" applyAlignment="1">
      <alignment horizontal="left" vertical="center" wrapText="1"/>
    </xf>
    <xf numFmtId="181" fontId="15" fillId="41" borderId="14" xfId="0" applyNumberFormat="1" applyFont="1" applyFill="1" applyBorder="1" applyAlignment="1">
      <alignment horizontal="right" vertical="center" wrapText="1"/>
    </xf>
    <xf numFmtId="182" fontId="0" fillId="0" borderId="0" xfId="0" applyNumberFormat="1" applyAlignment="1">
      <alignment/>
    </xf>
    <xf numFmtId="43" fontId="0" fillId="41" borderId="0" xfId="0" applyNumberFormat="1" applyFill="1" applyAlignment="1">
      <alignment/>
    </xf>
    <xf numFmtId="0" fontId="16" fillId="0" borderId="30" xfId="0" applyFont="1" applyBorder="1" applyAlignment="1">
      <alignment horizontal="center" vertical="center" wrapText="1"/>
    </xf>
    <xf numFmtId="167" fontId="15" fillId="0" borderId="30" xfId="0" applyNumberFormat="1" applyFont="1" applyBorder="1" applyAlignment="1">
      <alignment horizontal="left" vertical="center" wrapText="1"/>
    </xf>
    <xf numFmtId="167" fontId="16" fillId="0" borderId="30" xfId="0" applyNumberFormat="1" applyFont="1" applyBorder="1" applyAlignment="1">
      <alignment horizontal="left" vertical="center" wrapText="1"/>
    </xf>
    <xf numFmtId="181" fontId="15" fillId="0" borderId="30" xfId="0" applyNumberFormat="1" applyFont="1" applyBorder="1" applyAlignment="1">
      <alignment horizontal="right" vertical="center" wrapText="1"/>
    </xf>
    <xf numFmtId="43" fontId="15" fillId="0" borderId="30" xfId="44" applyFont="1" applyBorder="1" applyAlignment="1">
      <alignment horizontal="right" vertical="center" wrapText="1"/>
    </xf>
    <xf numFmtId="167" fontId="15" fillId="5" borderId="30" xfId="0" applyNumberFormat="1" applyFont="1" applyFill="1" applyBorder="1" applyAlignment="1">
      <alignment horizontal="left" vertical="center" wrapText="1"/>
    </xf>
    <xf numFmtId="166" fontId="86" fillId="0" borderId="30" xfId="44" applyNumberFormat="1" applyFont="1" applyBorder="1" applyAlignment="1">
      <alignment horizontal="justify" vertical="top" wrapText="1"/>
    </xf>
    <xf numFmtId="43" fontId="86" fillId="0" borderId="30" xfId="44" applyFont="1" applyBorder="1" applyAlignment="1">
      <alignment wrapText="1"/>
    </xf>
    <xf numFmtId="166" fontId="86" fillId="0" borderId="30" xfId="44" applyNumberFormat="1" applyFont="1" applyBorder="1" applyAlignment="1">
      <alignment wrapText="1"/>
    </xf>
    <xf numFmtId="166" fontId="86" fillId="0" borderId="30" xfId="44" applyNumberFormat="1" applyFont="1" applyBorder="1" applyAlignment="1">
      <alignment vertical="top" wrapText="1"/>
    </xf>
    <xf numFmtId="43" fontId="86" fillId="41" borderId="30" xfId="44" applyNumberFormat="1" applyFont="1" applyFill="1" applyBorder="1" applyAlignment="1">
      <alignment vertical="top" wrapText="1"/>
    </xf>
    <xf numFmtId="165" fontId="86" fillId="0" borderId="30" xfId="44" applyNumberFormat="1" applyFont="1" applyBorder="1" applyAlignment="1">
      <alignment wrapText="1"/>
    </xf>
    <xf numFmtId="168" fontId="86" fillId="0" borderId="30" xfId="44" applyNumberFormat="1" applyFont="1" applyBorder="1" applyAlignment="1">
      <alignment wrapText="1"/>
    </xf>
    <xf numFmtId="167" fontId="18" fillId="0" borderId="30" xfId="0" applyNumberFormat="1" applyFont="1" applyBorder="1" applyAlignment="1">
      <alignment horizontal="left" vertical="center" wrapText="1"/>
    </xf>
    <xf numFmtId="167" fontId="16" fillId="8" borderId="30" xfId="0" applyNumberFormat="1" applyFont="1" applyFill="1" applyBorder="1" applyAlignment="1">
      <alignment horizontal="left" vertical="center" wrapText="1"/>
    </xf>
    <xf numFmtId="166" fontId="86" fillId="36" borderId="30" xfId="44" applyNumberFormat="1" applyFont="1" applyFill="1" applyBorder="1" applyAlignment="1">
      <alignment horizontal="justify" vertical="top" wrapText="1"/>
    </xf>
    <xf numFmtId="43" fontId="86" fillId="36" borderId="30" xfId="44" applyFont="1" applyFill="1" applyBorder="1" applyAlignment="1">
      <alignment wrapText="1"/>
    </xf>
    <xf numFmtId="166" fontId="86" fillId="36" borderId="30" xfId="44" applyNumberFormat="1" applyFont="1" applyFill="1" applyBorder="1" applyAlignment="1">
      <alignment wrapText="1"/>
    </xf>
    <xf numFmtId="166" fontId="86" fillId="36" borderId="30" xfId="44" applyNumberFormat="1" applyFont="1" applyFill="1" applyBorder="1" applyAlignment="1">
      <alignment vertical="top" wrapText="1"/>
    </xf>
    <xf numFmtId="167" fontId="15" fillId="11" borderId="30" xfId="0" applyNumberFormat="1" applyFont="1" applyFill="1" applyBorder="1" applyAlignment="1">
      <alignment horizontal="left" vertical="center" wrapText="1"/>
    </xf>
    <xf numFmtId="43" fontId="87" fillId="0" borderId="30" xfId="0" applyNumberFormat="1" applyFont="1" applyBorder="1" applyAlignment="1">
      <alignment/>
    </xf>
    <xf numFmtId="168" fontId="86" fillId="0" borderId="30" xfId="44" applyNumberFormat="1" applyFont="1" applyBorder="1" applyAlignment="1">
      <alignment horizontal="justify" vertical="top" wrapText="1"/>
    </xf>
    <xf numFmtId="43" fontId="86" fillId="0" borderId="30" xfId="44" applyFont="1" applyBorder="1" applyAlignment="1">
      <alignment horizontal="justify" vertical="top" wrapText="1"/>
    </xf>
    <xf numFmtId="0" fontId="16" fillId="0" borderId="30" xfId="0" applyFont="1" applyBorder="1" applyAlignment="1">
      <alignment/>
    </xf>
    <xf numFmtId="0" fontId="0" fillId="0" borderId="30" xfId="0" applyBorder="1" applyAlignment="1">
      <alignment/>
    </xf>
    <xf numFmtId="43" fontId="86" fillId="0" borderId="30" xfId="44" applyFont="1" applyBorder="1" applyAlignment="1">
      <alignment vertical="top" wrapText="1"/>
    </xf>
    <xf numFmtId="167" fontId="15" fillId="41" borderId="30" xfId="0" applyNumberFormat="1" applyFont="1" applyFill="1" applyBorder="1" applyAlignment="1">
      <alignment horizontal="left" vertical="center" wrapText="1"/>
    </xf>
    <xf numFmtId="167" fontId="26" fillId="8" borderId="30" xfId="0" applyNumberFormat="1" applyFont="1" applyFill="1" applyBorder="1" applyAlignment="1">
      <alignment horizontal="left" vertical="center" wrapText="1"/>
    </xf>
    <xf numFmtId="167" fontId="26" fillId="11" borderId="30" xfId="0" applyNumberFormat="1" applyFont="1" applyFill="1" applyBorder="1" applyAlignment="1">
      <alignment horizontal="left" vertical="center" wrapText="1"/>
    </xf>
    <xf numFmtId="0" fontId="63" fillId="41" borderId="0" xfId="0" applyFont="1" applyFill="1" applyAlignment="1">
      <alignment/>
    </xf>
    <xf numFmtId="43" fontId="63" fillId="41" borderId="0" xfId="0" applyNumberFormat="1" applyFont="1" applyFill="1" applyAlignment="1">
      <alignment/>
    </xf>
    <xf numFmtId="43" fontId="15" fillId="41" borderId="13" xfId="44" applyFont="1" applyFill="1" applyBorder="1" applyAlignment="1">
      <alignment horizontal="right" vertical="center" wrapText="1"/>
    </xf>
    <xf numFmtId="166" fontId="0" fillId="41" borderId="13" xfId="44" applyNumberFormat="1" applyFont="1" applyFill="1" applyBorder="1" applyAlignment="1">
      <alignment/>
    </xf>
    <xf numFmtId="43" fontId="15" fillId="41" borderId="14" xfId="44" applyFont="1" applyFill="1" applyBorder="1" applyAlignment="1">
      <alignment horizontal="right" vertical="center" wrapText="1"/>
    </xf>
    <xf numFmtId="168" fontId="0" fillId="0" borderId="0" xfId="44" applyNumberFormat="1" applyFont="1" applyAlignment="1">
      <alignment/>
    </xf>
    <xf numFmtId="0" fontId="59" fillId="0" borderId="0" xfId="0" applyFont="1" applyAlignment="1">
      <alignment/>
    </xf>
    <xf numFmtId="183" fontId="15" fillId="0" borderId="14" xfId="0" applyNumberFormat="1" applyFont="1" applyBorder="1" applyAlignment="1">
      <alignment horizontal="right" vertical="center" wrapText="1"/>
    </xf>
    <xf numFmtId="181" fontId="15" fillId="0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43" fontId="15" fillId="8" borderId="14" xfId="44" applyFont="1" applyFill="1" applyBorder="1" applyAlignment="1">
      <alignment horizontal="right" vertical="center" wrapText="1"/>
    </xf>
    <xf numFmtId="43" fontId="3" fillId="0" borderId="0" xfId="44" applyFont="1" applyAlignment="1">
      <alignment/>
    </xf>
    <xf numFmtId="43" fontId="16" fillId="0" borderId="14" xfId="44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43" fontId="63" fillId="43" borderId="0" xfId="44" applyFont="1" applyFill="1" applyAlignment="1">
      <alignment/>
    </xf>
    <xf numFmtId="43" fontId="63" fillId="0" borderId="0" xfId="44" applyFont="1" applyAlignment="1">
      <alignment/>
    </xf>
    <xf numFmtId="43" fontId="59" fillId="0" borderId="0" xfId="44" applyFont="1" applyAlignment="1">
      <alignment/>
    </xf>
    <xf numFmtId="43" fontId="5" fillId="0" borderId="0" xfId="44" applyFont="1" applyAlignment="1">
      <alignment horizontal="left" vertical="center"/>
    </xf>
    <xf numFmtId="0" fontId="0" fillId="0" borderId="0" xfId="0" applyAlignment="1">
      <alignment/>
    </xf>
    <xf numFmtId="0" fontId="94" fillId="43" borderId="0" xfId="0" applyFont="1" applyFill="1" applyAlignment="1">
      <alignment/>
    </xf>
    <xf numFmtId="167" fontId="15" fillId="0" borderId="13" xfId="0" applyNumberFormat="1" applyFont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top" wrapText="1"/>
    </xf>
    <xf numFmtId="0" fontId="5" fillId="0" borderId="0" xfId="740" applyFont="1" applyAlignment="1">
      <alignment horizontal="center" vertical="center"/>
      <protection/>
    </xf>
    <xf numFmtId="181" fontId="15" fillId="41" borderId="30" xfId="0" applyNumberFormat="1" applyFont="1" applyFill="1" applyBorder="1" applyAlignment="1">
      <alignment horizontal="right" vertical="center" wrapText="1"/>
    </xf>
    <xf numFmtId="43" fontId="15" fillId="41" borderId="30" xfId="44" applyFont="1" applyFill="1" applyBorder="1" applyAlignment="1">
      <alignment horizontal="right" vertical="center" wrapText="1"/>
    </xf>
    <xf numFmtId="166" fontId="86" fillId="41" borderId="30" xfId="44" applyNumberFormat="1" applyFont="1" applyFill="1" applyBorder="1" applyAlignment="1">
      <alignment horizontal="justify" vertical="top" wrapText="1"/>
    </xf>
    <xf numFmtId="43" fontId="86" fillId="41" borderId="30" xfId="44" applyFont="1" applyFill="1" applyBorder="1" applyAlignment="1">
      <alignment wrapText="1"/>
    </xf>
    <xf numFmtId="166" fontId="86" fillId="41" borderId="30" xfId="44" applyNumberFormat="1" applyFont="1" applyFill="1" applyBorder="1" applyAlignment="1">
      <alignment wrapText="1"/>
    </xf>
    <xf numFmtId="166" fontId="86" fillId="41" borderId="30" xfId="44" applyNumberFormat="1" applyFont="1" applyFill="1" applyBorder="1" applyAlignment="1">
      <alignment vertical="top" wrapText="1"/>
    </xf>
    <xf numFmtId="168" fontId="86" fillId="41" borderId="30" xfId="44" applyNumberFormat="1" applyFont="1" applyFill="1" applyBorder="1" applyAlignment="1">
      <alignment wrapText="1"/>
    </xf>
    <xf numFmtId="43" fontId="87" fillId="41" borderId="30" xfId="0" applyNumberFormat="1" applyFont="1" applyFill="1" applyBorder="1" applyAlignment="1">
      <alignment/>
    </xf>
    <xf numFmtId="168" fontId="86" fillId="41" borderId="30" xfId="44" applyNumberFormat="1" applyFont="1" applyFill="1" applyBorder="1" applyAlignment="1">
      <alignment horizontal="justify" vertical="top" wrapText="1"/>
    </xf>
    <xf numFmtId="43" fontId="86" fillId="41" borderId="30" xfId="44" applyFont="1" applyFill="1" applyBorder="1" applyAlignment="1">
      <alignment horizontal="justify" vertical="top" wrapText="1"/>
    </xf>
    <xf numFmtId="43" fontId="86" fillId="41" borderId="30" xfId="44" applyFont="1" applyFill="1" applyBorder="1" applyAlignment="1">
      <alignment vertical="top" wrapText="1"/>
    </xf>
    <xf numFmtId="43" fontId="0" fillId="41" borderId="0" xfId="44" applyFont="1" applyFill="1" applyAlignment="1">
      <alignment/>
    </xf>
    <xf numFmtId="181" fontId="16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3" fontId="16" fillId="0" borderId="32" xfId="44" applyFont="1" applyBorder="1" applyAlignment="1">
      <alignment horizontal="center" vertical="center" wrapText="1"/>
    </xf>
    <xf numFmtId="43" fontId="15" fillId="0" borderId="32" xfId="44" applyFont="1" applyBorder="1" applyAlignment="1">
      <alignment horizontal="right" vertical="center" wrapText="1"/>
    </xf>
    <xf numFmtId="43" fontId="15" fillId="8" borderId="32" xfId="44" applyFont="1" applyFill="1" applyBorder="1" applyAlignment="1">
      <alignment horizontal="right" vertical="center" wrapText="1"/>
    </xf>
    <xf numFmtId="43" fontId="16" fillId="0" borderId="13" xfId="44" applyFont="1" applyBorder="1" applyAlignment="1">
      <alignment horizontal="center" vertical="center" wrapText="1"/>
    </xf>
    <xf numFmtId="0" fontId="27" fillId="0" borderId="13" xfId="941" applyFont="1" applyBorder="1" applyAlignment="1">
      <alignment horizontal="center" vertical="center" wrapText="1"/>
      <protection/>
    </xf>
    <xf numFmtId="0" fontId="27" fillId="0" borderId="13" xfId="941" applyFont="1" applyBorder="1" applyAlignment="1">
      <alignment horizontal="center" vertical="center"/>
      <protection/>
    </xf>
    <xf numFmtId="181" fontId="3" fillId="0" borderId="13" xfId="941" applyNumberFormat="1" applyBorder="1">
      <alignment/>
      <protection/>
    </xf>
    <xf numFmtId="0" fontId="3" fillId="0" borderId="13" xfId="941" applyBorder="1">
      <alignment/>
      <protection/>
    </xf>
    <xf numFmtId="43" fontId="15" fillId="8" borderId="13" xfId="44" applyFont="1" applyFill="1" applyBorder="1" applyAlignment="1">
      <alignment horizontal="right" vertical="center" wrapText="1"/>
    </xf>
    <xf numFmtId="43" fontId="3" fillId="0" borderId="13" xfId="941" applyNumberFormat="1" applyBorder="1">
      <alignment/>
      <protection/>
    </xf>
    <xf numFmtId="181" fontId="3" fillId="0" borderId="13" xfId="941" applyNumberFormat="1" applyBorder="1" applyAlignment="1">
      <alignment vertical="center"/>
      <protection/>
    </xf>
    <xf numFmtId="181" fontId="3" fillId="8" borderId="13" xfId="941" applyNumberFormat="1" applyFill="1" applyBorder="1" applyAlignment="1">
      <alignment vertical="center"/>
      <protection/>
    </xf>
    <xf numFmtId="0" fontId="86" fillId="0" borderId="13" xfId="0" applyFont="1" applyBorder="1" applyAlignment="1">
      <alignment horizontal="center"/>
    </xf>
    <xf numFmtId="43" fontId="16" fillId="0" borderId="30" xfId="44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0" xfId="941" applyAlignment="1">
      <alignment vertical="center"/>
      <protection/>
    </xf>
    <xf numFmtId="168" fontId="0" fillId="0" borderId="13" xfId="44" applyNumberFormat="1" applyFont="1" applyBorder="1" applyAlignment="1">
      <alignment/>
    </xf>
    <xf numFmtId="168" fontId="0" fillId="0" borderId="13" xfId="44" applyNumberFormat="1" applyFont="1" applyBorder="1" applyAlignment="1">
      <alignment wrapText="1"/>
    </xf>
    <xf numFmtId="9" fontId="0" fillId="0" borderId="13" xfId="1026" applyFont="1" applyBorder="1" applyAlignment="1">
      <alignment/>
    </xf>
    <xf numFmtId="168" fontId="0" fillId="0" borderId="33" xfId="44" applyNumberFormat="1" applyFont="1" applyBorder="1" applyAlignment="1">
      <alignment/>
    </xf>
    <xf numFmtId="168" fontId="0" fillId="0" borderId="34" xfId="44" applyNumberFormat="1" applyFont="1" applyBorder="1" applyAlignment="1">
      <alignment horizontal="center" vertical="center"/>
    </xf>
    <xf numFmtId="9" fontId="0" fillId="0" borderId="33" xfId="1026" applyFont="1" applyBorder="1" applyAlignment="1">
      <alignment/>
    </xf>
    <xf numFmtId="168" fontId="0" fillId="0" borderId="35" xfId="44" applyNumberFormat="1" applyFont="1" applyBorder="1" applyAlignment="1">
      <alignment horizontal="center" vertical="center"/>
    </xf>
    <xf numFmtId="168" fontId="0" fillId="0" borderId="36" xfId="44" applyNumberFormat="1" applyFont="1" applyBorder="1" applyAlignment="1">
      <alignment wrapText="1"/>
    </xf>
    <xf numFmtId="168" fontId="0" fillId="0" borderId="36" xfId="44" applyNumberFormat="1" applyFont="1" applyBorder="1" applyAlignment="1">
      <alignment/>
    </xf>
    <xf numFmtId="168" fontId="0" fillId="0" borderId="37" xfId="44" applyNumberFormat="1" applyFont="1" applyBorder="1" applyAlignment="1">
      <alignment/>
    </xf>
    <xf numFmtId="168" fontId="84" fillId="0" borderId="0" xfId="44" applyNumberFormat="1" applyFont="1" applyAlignment="1">
      <alignment/>
    </xf>
    <xf numFmtId="168" fontId="0" fillId="0" borderId="36" xfId="44" applyNumberFormat="1" applyFont="1" applyBorder="1" applyAlignment="1">
      <alignment vertical="center" wrapText="1"/>
    </xf>
    <xf numFmtId="10" fontId="0" fillId="0" borderId="13" xfId="44" applyNumberFormat="1" applyFont="1" applyBorder="1" applyAlignment="1">
      <alignment/>
    </xf>
    <xf numFmtId="168" fontId="0" fillId="0" borderId="36" xfId="44" applyNumberFormat="1" applyFont="1" applyBorder="1" applyAlignment="1">
      <alignment vertical="center"/>
    </xf>
    <xf numFmtId="43" fontId="3" fillId="8" borderId="13" xfId="44" applyFont="1" applyFill="1" applyBorder="1" applyAlignment="1">
      <alignment vertical="center"/>
    </xf>
    <xf numFmtId="43" fontId="3" fillId="0" borderId="13" xfId="44" applyFont="1" applyBorder="1" applyAlignment="1">
      <alignment/>
    </xf>
    <xf numFmtId="168" fontId="0" fillId="0" borderId="0" xfId="44" applyNumberFormat="1" applyFont="1" applyAlignment="1">
      <alignment horizontal="center" vertical="center"/>
    </xf>
    <xf numFmtId="0" fontId="3" fillId="0" borderId="0" xfId="942">
      <alignment/>
      <protection/>
    </xf>
    <xf numFmtId="0" fontId="3" fillId="0" borderId="0" xfId="942" applyAlignment="1">
      <alignment vertical="center"/>
      <protection/>
    </xf>
    <xf numFmtId="0" fontId="3" fillId="0" borderId="0" xfId="942" applyFont="1">
      <alignment/>
      <protection/>
    </xf>
    <xf numFmtId="0" fontId="0" fillId="0" borderId="0" xfId="0" applyAlignment="1">
      <alignment/>
    </xf>
    <xf numFmtId="43" fontId="15" fillId="0" borderId="0" xfId="157" applyNumberFormat="1" applyFont="1" applyAlignment="1">
      <alignment vertical="center"/>
    </xf>
    <xf numFmtId="0" fontId="15" fillId="0" borderId="0" xfId="0" applyFont="1" applyAlignment="1">
      <alignment vertical="center"/>
    </xf>
    <xf numFmtId="43" fontId="15" fillId="0" borderId="0" xfId="44" applyFont="1" applyBorder="1" applyAlignment="1">
      <alignment vertical="center"/>
    </xf>
    <xf numFmtId="43" fontId="15" fillId="0" borderId="0" xfId="157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3" fontId="15" fillId="0" borderId="0" xfId="0" applyNumberFormat="1" applyFont="1" applyBorder="1" applyAlignment="1">
      <alignment vertical="center"/>
    </xf>
    <xf numFmtId="43" fontId="16" fillId="0" borderId="0" xfId="44" applyFont="1" applyBorder="1" applyAlignment="1">
      <alignment/>
    </xf>
    <xf numFmtId="166" fontId="15" fillId="0" borderId="0" xfId="0" applyNumberFormat="1" applyFont="1" applyBorder="1" applyAlignment="1">
      <alignment vertical="center"/>
    </xf>
    <xf numFmtId="43" fontId="16" fillId="42" borderId="0" xfId="44" applyFont="1" applyFill="1" applyBorder="1" applyAlignment="1">
      <alignment/>
    </xf>
    <xf numFmtId="43" fontId="15" fillId="41" borderId="0" xfId="157" applyNumberFormat="1" applyFont="1" applyFill="1" applyBorder="1" applyAlignment="1">
      <alignment vertical="center"/>
    </xf>
    <xf numFmtId="0" fontId="15" fillId="41" borderId="0" xfId="0" applyFont="1" applyFill="1" applyBorder="1" applyAlignment="1">
      <alignment vertical="center"/>
    </xf>
    <xf numFmtId="43" fontId="16" fillId="41" borderId="0" xfId="44" applyFont="1" applyFill="1" applyBorder="1" applyAlignment="1">
      <alignment/>
    </xf>
    <xf numFmtId="4" fontId="15" fillId="0" borderId="0" xfId="0" applyNumberFormat="1" applyFont="1" applyBorder="1" applyAlignment="1">
      <alignment vertical="center"/>
    </xf>
    <xf numFmtId="0" fontId="15" fillId="41" borderId="0" xfId="0" applyFont="1" applyFill="1" applyAlignment="1">
      <alignment vertical="center"/>
    </xf>
    <xf numFmtId="43" fontId="15" fillId="41" borderId="0" xfId="157" applyNumberFormat="1" applyFont="1" applyFill="1" applyAlignment="1">
      <alignment vertical="center"/>
    </xf>
    <xf numFmtId="43" fontId="15" fillId="41" borderId="0" xfId="0" applyNumberFormat="1" applyFont="1" applyFill="1" applyAlignment="1">
      <alignment vertical="center"/>
    </xf>
    <xf numFmtId="43" fontId="95" fillId="0" borderId="0" xfId="157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16" fillId="41" borderId="13" xfId="0" applyFont="1" applyFill="1" applyBorder="1" applyAlignment="1">
      <alignment horizontal="center" vertical="center" wrapText="1"/>
    </xf>
    <xf numFmtId="167" fontId="15" fillId="41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167" fontId="16" fillId="0" borderId="13" xfId="0" applyNumberFormat="1" applyFont="1" applyFill="1" applyBorder="1" applyAlignment="1">
      <alignment horizontal="left" vertical="center" wrapText="1"/>
    </xf>
    <xf numFmtId="43" fontId="15" fillId="0" borderId="13" xfId="44" applyFont="1" applyFill="1" applyBorder="1" applyAlignment="1">
      <alignment/>
    </xf>
    <xf numFmtId="167" fontId="15" fillId="0" borderId="13" xfId="0" applyNumberFormat="1" applyFont="1" applyFill="1" applyBorder="1" applyAlignment="1">
      <alignment horizontal="left" vertical="center" wrapText="1"/>
    </xf>
    <xf numFmtId="43" fontId="15" fillId="0" borderId="13" xfId="44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43" fontId="16" fillId="0" borderId="13" xfId="44" applyFont="1" applyFill="1" applyBorder="1" applyAlignment="1">
      <alignment/>
    </xf>
    <xf numFmtId="167" fontId="96" fillId="0" borderId="13" xfId="0" applyNumberFormat="1" applyFont="1" applyFill="1" applyBorder="1" applyAlignment="1">
      <alignment horizontal="left" vertical="center" wrapText="1"/>
    </xf>
    <xf numFmtId="184" fontId="16" fillId="0" borderId="13" xfId="44" applyNumberFormat="1" applyFont="1" applyFill="1" applyBorder="1" applyAlignment="1">
      <alignment/>
    </xf>
    <xf numFmtId="0" fontId="16" fillId="0" borderId="0" xfId="942" applyFont="1" applyFill="1" applyBorder="1">
      <alignment/>
      <protection/>
    </xf>
    <xf numFmtId="0" fontId="15" fillId="0" borderId="0" xfId="942" applyFont="1" applyFill="1" applyBorder="1">
      <alignment/>
      <protection/>
    </xf>
    <xf numFmtId="43" fontId="15" fillId="0" borderId="0" xfId="44" applyFont="1" applyFill="1" applyBorder="1" applyAlignment="1">
      <alignment/>
    </xf>
    <xf numFmtId="43" fontId="15" fillId="0" borderId="0" xfId="44" applyFont="1" applyFill="1" applyBorder="1" applyAlignment="1">
      <alignment/>
    </xf>
    <xf numFmtId="181" fontId="15" fillId="0" borderId="0" xfId="942" applyNumberFormat="1" applyFont="1" applyFill="1" applyBorder="1">
      <alignment/>
      <protection/>
    </xf>
    <xf numFmtId="43" fontId="15" fillId="0" borderId="0" xfId="942" applyNumberFormat="1" applyFont="1" applyFill="1" applyBorder="1">
      <alignment/>
      <protection/>
    </xf>
    <xf numFmtId="43" fontId="15" fillId="0" borderId="0" xfId="44" applyFont="1" applyFill="1" applyBorder="1" applyAlignment="1">
      <alignment vertical="center"/>
    </xf>
    <xf numFmtId="43" fontId="15" fillId="0" borderId="0" xfId="44" applyFont="1" applyFill="1" applyBorder="1" applyAlignment="1">
      <alignment vertical="top" wrapText="1"/>
    </xf>
    <xf numFmtId="43" fontId="28" fillId="0" borderId="0" xfId="510" applyNumberFormat="1" applyFont="1" applyFill="1" applyBorder="1" applyAlignment="1">
      <alignment/>
    </xf>
    <xf numFmtId="0" fontId="16" fillId="0" borderId="0" xfId="740" applyFont="1" applyFill="1" applyBorder="1" applyAlignment="1">
      <alignment horizontal="center"/>
      <protection/>
    </xf>
    <xf numFmtId="0" fontId="15" fillId="0" borderId="0" xfId="740" applyFont="1" applyFill="1" applyBorder="1" applyAlignment="1">
      <alignment/>
      <protection/>
    </xf>
    <xf numFmtId="0" fontId="15" fillId="0" borderId="0" xfId="740" applyFont="1" applyFill="1" applyBorder="1" applyAlignment="1">
      <alignment horizontal="left"/>
      <protection/>
    </xf>
    <xf numFmtId="43" fontId="15" fillId="0" borderId="0" xfId="740" applyNumberFormat="1" applyFont="1" applyFill="1" applyBorder="1" applyAlignment="1">
      <alignment/>
      <protection/>
    </xf>
    <xf numFmtId="0" fontId="15" fillId="0" borderId="0" xfId="740" applyFont="1" applyFill="1" applyBorder="1" applyAlignment="1">
      <alignment horizontal="center" vertical="center"/>
      <protection/>
    </xf>
    <xf numFmtId="43" fontId="16" fillId="0" borderId="0" xfId="44" applyFont="1" applyFill="1" applyBorder="1" applyAlignment="1">
      <alignment/>
    </xf>
    <xf numFmtId="0" fontId="95" fillId="0" borderId="0" xfId="740" applyFont="1" applyFill="1" applyBorder="1" applyAlignment="1">
      <alignment/>
      <protection/>
    </xf>
    <xf numFmtId="43" fontId="95" fillId="0" borderId="0" xfId="740" applyNumberFormat="1" applyFont="1" applyFill="1" applyBorder="1" applyAlignment="1">
      <alignment/>
      <protection/>
    </xf>
    <xf numFmtId="43" fontId="95" fillId="0" borderId="0" xfId="44" applyFont="1" applyFill="1" applyBorder="1" applyAlignment="1">
      <alignment/>
    </xf>
    <xf numFmtId="0" fontId="15" fillId="0" borderId="0" xfId="740" applyFont="1" applyFill="1" applyBorder="1" applyAlignment="1">
      <alignment vertical="center"/>
      <protection/>
    </xf>
    <xf numFmtId="43" fontId="15" fillId="0" borderId="0" xfId="740" applyNumberFormat="1" applyFont="1" applyFill="1" applyBorder="1" applyAlignment="1">
      <alignment vertical="center"/>
      <protection/>
    </xf>
    <xf numFmtId="9" fontId="15" fillId="0" borderId="0" xfId="1026" applyFont="1" applyFill="1" applyBorder="1" applyAlignment="1">
      <alignment/>
    </xf>
    <xf numFmtId="43" fontId="15" fillId="0" borderId="0" xfId="44" applyFont="1" applyFill="1" applyBorder="1" applyAlignment="1">
      <alignment horizontal="right" vertical="center"/>
    </xf>
    <xf numFmtId="0" fontId="16" fillId="0" borderId="0" xfId="740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43" fontId="95" fillId="0" borderId="0" xfId="44" applyFont="1" applyFill="1" applyAlignment="1">
      <alignment vertical="center"/>
    </xf>
    <xf numFmtId="43" fontId="15" fillId="0" borderId="0" xfId="44" applyFont="1" applyFill="1" applyAlignment="1">
      <alignment vertical="center"/>
    </xf>
    <xf numFmtId="43" fontId="94" fillId="0" borderId="0" xfId="44" applyFont="1" applyFill="1" applyBorder="1" applyAlignment="1">
      <alignment/>
    </xf>
    <xf numFmtId="43" fontId="97" fillId="0" borderId="0" xfId="44" applyFont="1" applyFill="1" applyAlignment="1">
      <alignment vertical="center"/>
    </xf>
    <xf numFmtId="43" fontId="15" fillId="0" borderId="13" xfId="510" applyFont="1" applyFill="1" applyBorder="1" applyAlignment="1">
      <alignment/>
    </xf>
    <xf numFmtId="0" fontId="16" fillId="0" borderId="13" xfId="740" applyFont="1" applyFill="1" applyBorder="1" applyAlignment="1">
      <alignment vertical="center"/>
      <protection/>
    </xf>
    <xf numFmtId="43" fontId="15" fillId="0" borderId="13" xfId="510" applyNumberFormat="1" applyFont="1" applyFill="1" applyBorder="1" applyAlignment="1">
      <alignment/>
    </xf>
    <xf numFmtId="167" fontId="15" fillId="0" borderId="13" xfId="44" applyNumberFormat="1" applyFont="1" applyFill="1" applyBorder="1" applyAlignment="1">
      <alignment/>
    </xf>
    <xf numFmtId="43" fontId="15" fillId="0" borderId="13" xfId="740" applyNumberFormat="1" applyFont="1" applyFill="1" applyBorder="1" applyAlignment="1">
      <alignment vertical="center"/>
      <protection/>
    </xf>
    <xf numFmtId="0" fontId="15" fillId="0" borderId="13" xfId="740" applyFont="1" applyFill="1" applyBorder="1" applyAlignment="1">
      <alignment horizontal="left" vertical="center"/>
      <protection/>
    </xf>
    <xf numFmtId="0" fontId="15" fillId="0" borderId="13" xfId="740" applyFont="1" applyFill="1" applyBorder="1" applyAlignment="1">
      <alignment vertical="center"/>
      <protection/>
    </xf>
    <xf numFmtId="167" fontId="16" fillId="41" borderId="14" xfId="0" applyNumberFormat="1" applyFont="1" applyFill="1" applyBorder="1" applyAlignment="1">
      <alignment horizontal="left" vertical="center" wrapText="1"/>
    </xf>
    <xf numFmtId="1" fontId="15" fillId="0" borderId="13" xfId="942" applyNumberFormat="1" applyFont="1" applyFill="1" applyBorder="1" applyAlignment="1">
      <alignment horizontal="left" vertical="center" wrapText="1"/>
      <protection/>
    </xf>
    <xf numFmtId="167" fontId="16" fillId="0" borderId="13" xfId="942" applyNumberFormat="1" applyFont="1" applyFill="1" applyBorder="1" applyAlignment="1">
      <alignment horizontal="left" vertical="center" wrapText="1"/>
      <protection/>
    </xf>
    <xf numFmtId="43" fontId="15" fillId="0" borderId="13" xfId="44" applyFont="1" applyFill="1" applyBorder="1" applyAlignment="1">
      <alignment horizontal="right" vertical="center" wrapText="1"/>
    </xf>
    <xf numFmtId="181" fontId="15" fillId="0" borderId="13" xfId="942" applyNumberFormat="1" applyFont="1" applyFill="1" applyBorder="1" applyAlignment="1">
      <alignment vertical="center"/>
      <protection/>
    </xf>
    <xf numFmtId="167" fontId="15" fillId="0" borderId="13" xfId="942" applyNumberFormat="1" applyFont="1" applyFill="1" applyBorder="1" applyAlignment="1">
      <alignment horizontal="left" vertical="center" wrapText="1"/>
      <protection/>
    </xf>
    <xf numFmtId="0" fontId="15" fillId="0" borderId="13" xfId="942" applyFont="1" applyFill="1" applyBorder="1">
      <alignment/>
      <protection/>
    </xf>
    <xf numFmtId="181" fontId="15" fillId="0" borderId="13" xfId="942" applyNumberFormat="1" applyFont="1" applyFill="1" applyBorder="1">
      <alignment/>
      <protection/>
    </xf>
    <xf numFmtId="167" fontId="16" fillId="41" borderId="13" xfId="0" applyNumberFormat="1" applyFont="1" applyFill="1" applyBorder="1" applyAlignment="1">
      <alignment horizontal="left" vertical="center" wrapText="1"/>
    </xf>
    <xf numFmtId="167" fontId="15" fillId="0" borderId="13" xfId="44" applyNumberFormat="1" applyFont="1" applyFill="1" applyBorder="1" applyAlignment="1">
      <alignment horizontal="right" vertical="center" wrapText="1"/>
    </xf>
    <xf numFmtId="167" fontId="15" fillId="0" borderId="13" xfId="942" applyNumberFormat="1" applyFont="1" applyFill="1" applyBorder="1" applyAlignment="1">
      <alignment horizontal="right" vertical="center"/>
      <protection/>
    </xf>
    <xf numFmtId="43" fontId="15" fillId="0" borderId="13" xfId="942" applyNumberFormat="1" applyFont="1" applyFill="1" applyBorder="1">
      <alignment/>
      <protection/>
    </xf>
    <xf numFmtId="0" fontId="16" fillId="41" borderId="38" xfId="0" applyFont="1" applyFill="1" applyBorder="1" applyAlignment="1">
      <alignment horizontal="center" vertical="center" wrapText="1"/>
    </xf>
    <xf numFmtId="181" fontId="15" fillId="0" borderId="13" xfId="0" applyNumberFormat="1" applyFont="1" applyBorder="1" applyAlignment="1">
      <alignment horizontal="right" vertical="center" wrapText="1"/>
    </xf>
    <xf numFmtId="166" fontId="15" fillId="0" borderId="13" xfId="740" applyNumberFormat="1" applyFont="1" applyFill="1" applyBorder="1" applyAlignment="1">
      <alignment/>
      <protection/>
    </xf>
    <xf numFmtId="166" fontId="15" fillId="0" borderId="13" xfId="44" applyNumberFormat="1" applyFont="1" applyFill="1" applyBorder="1" applyAlignment="1">
      <alignment/>
    </xf>
    <xf numFmtId="166" fontId="15" fillId="0" borderId="13" xfId="510" applyNumberFormat="1" applyFont="1" applyFill="1" applyBorder="1" applyAlignment="1">
      <alignment/>
    </xf>
    <xf numFmtId="1" fontId="15" fillId="0" borderId="14" xfId="0" applyNumberFormat="1" applyFont="1" applyBorder="1" applyAlignment="1">
      <alignment horizontal="left" vertical="center" wrapText="1"/>
    </xf>
    <xf numFmtId="167" fontId="15" fillId="0" borderId="38" xfId="0" applyNumberFormat="1" applyFont="1" applyBorder="1" applyAlignment="1">
      <alignment horizontal="left" vertical="center" wrapText="1"/>
    </xf>
    <xf numFmtId="167" fontId="15" fillId="0" borderId="39" xfId="0" applyNumberFormat="1" applyFont="1" applyBorder="1" applyAlignment="1">
      <alignment horizontal="left" vertical="center" wrapText="1"/>
    </xf>
    <xf numFmtId="167" fontId="16" fillId="0" borderId="39" xfId="0" applyNumberFormat="1" applyFont="1" applyBorder="1" applyAlignment="1">
      <alignment horizontal="left" vertical="center" wrapText="1"/>
    </xf>
    <xf numFmtId="0" fontId="15" fillId="0" borderId="13" xfId="740" applyFont="1" applyFill="1" applyBorder="1" applyAlignment="1">
      <alignment horizontal="left"/>
      <protection/>
    </xf>
    <xf numFmtId="0" fontId="15" fillId="0" borderId="13" xfId="740" applyFont="1" applyFill="1" applyBorder="1" applyAlignment="1">
      <alignment/>
      <protection/>
    </xf>
    <xf numFmtId="14" fontId="15" fillId="0" borderId="13" xfId="740" applyNumberFormat="1" applyFont="1" applyFill="1" applyBorder="1" applyAlignment="1">
      <alignment horizontal="left"/>
      <protection/>
    </xf>
    <xf numFmtId="0" fontId="3" fillId="0" borderId="0" xfId="942" applyFont="1">
      <alignment/>
      <protection/>
    </xf>
    <xf numFmtId="0" fontId="2" fillId="0" borderId="0" xfId="740" applyFont="1" applyAlignment="1">
      <alignment horizontal="center"/>
      <protection/>
    </xf>
    <xf numFmtId="43" fontId="4" fillId="0" borderId="0" xfId="740" applyNumberFormat="1" applyFont="1" applyAlignment="1">
      <alignment horizontal="right"/>
      <protection/>
    </xf>
    <xf numFmtId="0" fontId="4" fillId="0" borderId="0" xfId="740" applyFont="1" applyAlignment="1">
      <alignment horizontal="right"/>
      <protection/>
    </xf>
    <xf numFmtId="0" fontId="4" fillId="0" borderId="0" xfId="740" applyFont="1" applyAlignment="1">
      <alignment horizontal="center"/>
      <protection/>
    </xf>
    <xf numFmtId="0" fontId="3" fillId="0" borderId="0" xfId="941">
      <alignment/>
      <protection/>
    </xf>
    <xf numFmtId="43" fontId="15" fillId="0" borderId="0" xfId="44" applyFont="1" applyAlignment="1">
      <alignment horizontal="center" vertical="top" wrapText="1"/>
    </xf>
    <xf numFmtId="0" fontId="16" fillId="0" borderId="0" xfId="941" applyFont="1" applyAlignment="1">
      <alignment horizontal="center"/>
      <protection/>
    </xf>
    <xf numFmtId="43" fontId="3" fillId="0" borderId="0" xfId="44" applyFont="1" applyAlignment="1">
      <alignment horizontal="center"/>
    </xf>
    <xf numFmtId="0" fontId="89" fillId="40" borderId="40" xfId="0" applyFont="1" applyFill="1" applyBorder="1" applyAlignment="1">
      <alignment vertical="center" wrapText="1"/>
    </xf>
    <xf numFmtId="0" fontId="89" fillId="40" borderId="41" xfId="0" applyFont="1" applyFill="1" applyBorder="1" applyAlignment="1">
      <alignment vertical="center" wrapText="1"/>
    </xf>
    <xf numFmtId="0" fontId="89" fillId="40" borderId="42" xfId="0" applyFont="1" applyFill="1" applyBorder="1" applyAlignment="1">
      <alignment vertical="center" wrapText="1"/>
    </xf>
    <xf numFmtId="0" fontId="88" fillId="38" borderId="43" xfId="0" applyFont="1" applyFill="1" applyBorder="1" applyAlignment="1">
      <alignment vertical="center" wrapText="1"/>
    </xf>
    <xf numFmtId="0" fontId="88" fillId="38" borderId="44" xfId="0" applyFont="1" applyFill="1" applyBorder="1" applyAlignment="1">
      <alignment vertical="center" wrapText="1"/>
    </xf>
    <xf numFmtId="0" fontId="88" fillId="38" borderId="45" xfId="0" applyFont="1" applyFill="1" applyBorder="1" applyAlignment="1">
      <alignment horizontal="center" vertical="center" wrapText="1"/>
    </xf>
    <xf numFmtId="0" fontId="88" fillId="38" borderId="46" xfId="0" applyFont="1" applyFill="1" applyBorder="1" applyAlignment="1">
      <alignment horizontal="center" vertical="center" wrapText="1"/>
    </xf>
    <xf numFmtId="0" fontId="88" fillId="38" borderId="47" xfId="0" applyFont="1" applyFill="1" applyBorder="1" applyAlignment="1">
      <alignment horizontal="center" vertical="center" wrapText="1"/>
    </xf>
    <xf numFmtId="0" fontId="88" fillId="38" borderId="45" xfId="0" applyFont="1" applyFill="1" applyBorder="1" applyAlignment="1">
      <alignment vertical="center" wrapText="1"/>
    </xf>
    <xf numFmtId="0" fontId="88" fillId="38" borderId="46" xfId="0" applyFont="1" applyFill="1" applyBorder="1" applyAlignment="1">
      <alignment vertical="center" wrapText="1"/>
    </xf>
    <xf numFmtId="0" fontId="88" fillId="38" borderId="47" xfId="0" applyFont="1" applyFill="1" applyBorder="1" applyAlignment="1">
      <alignment vertical="center" wrapText="1"/>
    </xf>
    <xf numFmtId="0" fontId="89" fillId="39" borderId="48" xfId="0" applyFont="1" applyFill="1" applyBorder="1" applyAlignment="1">
      <alignment vertical="center" wrapText="1"/>
    </xf>
    <xf numFmtId="0" fontId="89" fillId="39" borderId="49" xfId="0" applyFont="1" applyFill="1" applyBorder="1" applyAlignment="1">
      <alignment vertical="center" wrapText="1"/>
    </xf>
    <xf numFmtId="166" fontId="4" fillId="0" borderId="13" xfId="44" applyNumberFormat="1" applyFont="1" applyBorder="1" applyAlignment="1">
      <alignment horizontal="center" vertical="center" wrapText="1"/>
    </xf>
    <xf numFmtId="0" fontId="20" fillId="0" borderId="0" xfId="742" applyFont="1" applyAlignment="1">
      <alignment horizontal="center"/>
      <protection/>
    </xf>
    <xf numFmtId="166" fontId="2" fillId="0" borderId="0" xfId="44" applyNumberFormat="1" applyFont="1" applyAlignment="1">
      <alignment horizontal="center"/>
    </xf>
    <xf numFmtId="0" fontId="4" fillId="0" borderId="13" xfId="742" applyFont="1" applyBorder="1" applyAlignment="1">
      <alignment horizontal="center" vertical="center" wrapText="1"/>
      <protection/>
    </xf>
    <xf numFmtId="166" fontId="4" fillId="0" borderId="50" xfId="44" applyNumberFormat="1" applyFont="1" applyBorder="1" applyAlignment="1">
      <alignment horizontal="center" vertical="center" wrapText="1"/>
    </xf>
    <xf numFmtId="166" fontId="4" fillId="0" borderId="51" xfId="44" applyNumberFormat="1" applyFont="1" applyBorder="1" applyAlignment="1">
      <alignment horizontal="center" vertical="center" wrapText="1"/>
    </xf>
    <xf numFmtId="166" fontId="4" fillId="0" borderId="52" xfId="44" applyNumberFormat="1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98" fillId="44" borderId="53" xfId="0" applyFont="1" applyFill="1" applyBorder="1" applyAlignment="1">
      <alignment horizontal="center" vertical="top" wrapText="1"/>
    </xf>
    <xf numFmtId="0" fontId="98" fillId="44" borderId="0" xfId="0" applyFont="1" applyFill="1" applyBorder="1" applyAlignment="1">
      <alignment horizontal="center" vertical="top" wrapText="1"/>
    </xf>
    <xf numFmtId="168" fontId="0" fillId="0" borderId="54" xfId="44" applyNumberFormat="1" applyFont="1" applyBorder="1" applyAlignment="1">
      <alignment horizontal="center" vertical="center"/>
    </xf>
    <xf numFmtId="168" fontId="0" fillId="0" borderId="13" xfId="44" applyNumberFormat="1" applyFont="1" applyBorder="1" applyAlignment="1">
      <alignment horizontal="center" vertical="center"/>
    </xf>
    <xf numFmtId="168" fontId="0" fillId="0" borderId="54" xfId="44" applyNumberFormat="1" applyFont="1" applyBorder="1" applyAlignment="1">
      <alignment horizontal="center"/>
    </xf>
    <xf numFmtId="168" fontId="0" fillId="0" borderId="55" xfId="44" applyNumberFormat="1" applyFont="1" applyBorder="1" applyAlignment="1">
      <alignment horizontal="center"/>
    </xf>
    <xf numFmtId="168" fontId="0" fillId="0" borderId="56" xfId="44" applyNumberFormat="1" applyFont="1" applyBorder="1" applyAlignment="1">
      <alignment horizontal="center" vertical="center"/>
    </xf>
    <xf numFmtId="168" fontId="0" fillId="0" borderId="34" xfId="44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4" fillId="43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94" fillId="43" borderId="0" xfId="0" applyFont="1" applyFill="1" applyAlignment="1">
      <alignment/>
    </xf>
    <xf numFmtId="0" fontId="16" fillId="0" borderId="5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1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3 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mount" xfId="40"/>
    <cellStyle name="Bad" xfId="41"/>
    <cellStyle name="Calculation" xfId="42"/>
    <cellStyle name="Check Cell" xfId="43"/>
    <cellStyle name="Comma" xfId="44"/>
    <cellStyle name="Comma [0]" xfId="45"/>
    <cellStyle name="Comma [0] 2" xfId="46"/>
    <cellStyle name="Comma [0] 2 2" xfId="47"/>
    <cellStyle name="Comma [0] 2 2 2" xfId="48"/>
    <cellStyle name="Comma [0] 2 3" xfId="49"/>
    <cellStyle name="Comma [0] 2 3 2" xfId="50"/>
    <cellStyle name="Comma [0] 2 4" xfId="51"/>
    <cellStyle name="Comma [0] 2 4 2" xfId="52"/>
    <cellStyle name="Comma [0] 2 5" xfId="53"/>
    <cellStyle name="Comma [0] 2 5 2" xfId="54"/>
    <cellStyle name="Comma [0] 2 6" xfId="55"/>
    <cellStyle name="Comma [0] 2 7" xfId="56"/>
    <cellStyle name="Comma [0] 3" xfId="57"/>
    <cellStyle name="Comma [0] 3 2" xfId="58"/>
    <cellStyle name="Comma [0] 4" xfId="59"/>
    <cellStyle name="Comma [0] 4 2" xfId="60"/>
    <cellStyle name="Comma [0] 5" xfId="61"/>
    <cellStyle name="Comma [0] 5 2" xfId="62"/>
    <cellStyle name="Comma [0] 5 2 2" xfId="63"/>
    <cellStyle name="Comma [0] 5 2 3" xfId="64"/>
    <cellStyle name="Comma [0] 5 2 4" xfId="65"/>
    <cellStyle name="Comma [0] 5 2 5" xfId="66"/>
    <cellStyle name="Comma [0] 5 2 6" xfId="67"/>
    <cellStyle name="Comma [0] 5 3" xfId="68"/>
    <cellStyle name="Comma [0] 5 4" xfId="69"/>
    <cellStyle name="Comma [0] 6" xfId="70"/>
    <cellStyle name="Comma [0] 7" xfId="71"/>
    <cellStyle name="Comma 10" xfId="72"/>
    <cellStyle name="Comma 10 2" xfId="73"/>
    <cellStyle name="Comma 10 2 2" xfId="74"/>
    <cellStyle name="Comma 10 2 2 2" xfId="75"/>
    <cellStyle name="Comma 10 2 2 2 2" xfId="76"/>
    <cellStyle name="Comma 10 3" xfId="77"/>
    <cellStyle name="Comma 10 4" xfId="78"/>
    <cellStyle name="Comma 11" xfId="79"/>
    <cellStyle name="Comma 11 2" xfId="80"/>
    <cellStyle name="Comma 11 2 2" xfId="81"/>
    <cellStyle name="Comma 11 3" xfId="82"/>
    <cellStyle name="Comma 11 4" xfId="83"/>
    <cellStyle name="Comma 11 5" xfId="84"/>
    <cellStyle name="Comma 11 5 2" xfId="85"/>
    <cellStyle name="Comma 11 5 3" xfId="86"/>
    <cellStyle name="Comma 11 5 4" xfId="87"/>
    <cellStyle name="Comma 11 5 5" xfId="88"/>
    <cellStyle name="Comma 11 5 6" xfId="89"/>
    <cellStyle name="Comma 12" xfId="90"/>
    <cellStyle name="Comma 12 2" xfId="91"/>
    <cellStyle name="Comma 12 3" xfId="92"/>
    <cellStyle name="Comma 13" xfId="93"/>
    <cellStyle name="Comma 13 10" xfId="94"/>
    <cellStyle name="Comma 13 10 2" xfId="95"/>
    <cellStyle name="Comma 13 10 3" xfId="96"/>
    <cellStyle name="Comma 13 10 4" xfId="97"/>
    <cellStyle name="Comma 13 10 5" xfId="98"/>
    <cellStyle name="Comma 13 10 6" xfId="99"/>
    <cellStyle name="Comma 13 11" xfId="100"/>
    <cellStyle name="Comma 13 12" xfId="101"/>
    <cellStyle name="Comma 13 13" xfId="102"/>
    <cellStyle name="Comma 13 14" xfId="103"/>
    <cellStyle name="Comma 13 2" xfId="104"/>
    <cellStyle name="Comma 13 2 2" xfId="105"/>
    <cellStyle name="Comma 13 2 2 2" xfId="106"/>
    <cellStyle name="Comma 13 2 3" xfId="107"/>
    <cellStyle name="Comma 13 2 3 2" xfId="108"/>
    <cellStyle name="Comma 13 2 4" xfId="109"/>
    <cellStyle name="Comma 13 3" xfId="110"/>
    <cellStyle name="Comma 13 3 2" xfId="111"/>
    <cellStyle name="Comma 13 4" xfId="112"/>
    <cellStyle name="Comma 13 4 2" xfId="113"/>
    <cellStyle name="Comma 13 5" xfId="114"/>
    <cellStyle name="Comma 13 5 2" xfId="115"/>
    <cellStyle name="Comma 13 6" xfId="116"/>
    <cellStyle name="Comma 13 6 2" xfId="117"/>
    <cellStyle name="Comma 13 6 3" xfId="118"/>
    <cellStyle name="Comma 13 7" xfId="119"/>
    <cellStyle name="Comma 13 7 2" xfId="120"/>
    <cellStyle name="Comma 13 7 3" xfId="121"/>
    <cellStyle name="Comma 13 7 4" xfId="122"/>
    <cellStyle name="Comma 13 8" xfId="123"/>
    <cellStyle name="Comma 13 9" xfId="124"/>
    <cellStyle name="Comma 14" xfId="125"/>
    <cellStyle name="Comma 14 2" xfId="126"/>
    <cellStyle name="Comma 14 2 2" xfId="127"/>
    <cellStyle name="Comma 14 3" xfId="128"/>
    <cellStyle name="Comma 14 4" xfId="129"/>
    <cellStyle name="Comma 15" xfId="130"/>
    <cellStyle name="Comma 15 2" xfId="131"/>
    <cellStyle name="Comma 15 2 2" xfId="132"/>
    <cellStyle name="Comma 15 2 2 2" xfId="133"/>
    <cellStyle name="Comma 15 2 3" xfId="134"/>
    <cellStyle name="Comma 15 2 3 2" xfId="135"/>
    <cellStyle name="Comma 15 2 4" xfId="136"/>
    <cellStyle name="Comma 15 3" xfId="137"/>
    <cellStyle name="Comma 16" xfId="138"/>
    <cellStyle name="Comma 16 2" xfId="139"/>
    <cellStyle name="Comma 16 2 2" xfId="140"/>
    <cellStyle name="Comma 16 3" xfId="141"/>
    <cellStyle name="Comma 17" xfId="142"/>
    <cellStyle name="Comma 17 2" xfId="143"/>
    <cellStyle name="Comma 18" xfId="144"/>
    <cellStyle name="Comma 18 2" xfId="145"/>
    <cellStyle name="Comma 18 2 2" xfId="146"/>
    <cellStyle name="Comma 18 3" xfId="147"/>
    <cellStyle name="Comma 18 3 2" xfId="148"/>
    <cellStyle name="Comma 18 4" xfId="149"/>
    <cellStyle name="Comma 19" xfId="150"/>
    <cellStyle name="Comma 19 2" xfId="151"/>
    <cellStyle name="Comma 19 2 2" xfId="152"/>
    <cellStyle name="Comma 19 2 3" xfId="153"/>
    <cellStyle name="Comma 19 2 3 2" xfId="154"/>
    <cellStyle name="Comma 19 3" xfId="155"/>
    <cellStyle name="Comma 19 3 2" xfId="156"/>
    <cellStyle name="Comma 2" xfId="157"/>
    <cellStyle name="Comma 2 10" xfId="158"/>
    <cellStyle name="Comma 2 10 2" xfId="159"/>
    <cellStyle name="Comma 2 10 3" xfId="160"/>
    <cellStyle name="Comma 2 10 4" xfId="161"/>
    <cellStyle name="Comma 2 10 5" xfId="162"/>
    <cellStyle name="Comma 2 10 6" xfId="163"/>
    <cellStyle name="Comma 2 11" xfId="164"/>
    <cellStyle name="Comma 2 11 2" xfId="165"/>
    <cellStyle name="Comma 2 11 3" xfId="166"/>
    <cellStyle name="Comma 2 11 4" xfId="167"/>
    <cellStyle name="Comma 2 11 5" xfId="168"/>
    <cellStyle name="Comma 2 11 6" xfId="169"/>
    <cellStyle name="Comma 2 11 7" xfId="170"/>
    <cellStyle name="Comma 2 12" xfId="171"/>
    <cellStyle name="Comma 2 13" xfId="172"/>
    <cellStyle name="Comma 2 13 2" xfId="173"/>
    <cellStyle name="Comma 2 14" xfId="174"/>
    <cellStyle name="Comma 2 15" xfId="175"/>
    <cellStyle name="Comma 2 16" xfId="176"/>
    <cellStyle name="Comma 2 17" xfId="177"/>
    <cellStyle name="Comma 2 18" xfId="178"/>
    <cellStyle name="Comma 2 19" xfId="179"/>
    <cellStyle name="Comma 2 2" xfId="180"/>
    <cellStyle name="Comma 2 2 10" xfId="181"/>
    <cellStyle name="Comma 2 2 11" xfId="182"/>
    <cellStyle name="Comma 2 2 2" xfId="183"/>
    <cellStyle name="Comma 2 2 2 10" xfId="184"/>
    <cellStyle name="Comma 2 2 2 2" xfId="185"/>
    <cellStyle name="Comma 2 2 2 2 2" xfId="186"/>
    <cellStyle name="Comma 2 2 2 2 3" xfId="187"/>
    <cellStyle name="Comma 2 2 2 2 4" xfId="188"/>
    <cellStyle name="Comma 2 2 2 2 5" xfId="189"/>
    <cellStyle name="Comma 2 2 2 2 6" xfId="190"/>
    <cellStyle name="Comma 2 2 2 2 7" xfId="191"/>
    <cellStyle name="Comma 2 2 2 3" xfId="192"/>
    <cellStyle name="Comma 2 2 2 3 2" xfId="193"/>
    <cellStyle name="Comma 2 2 2 4" xfId="194"/>
    <cellStyle name="Comma 2 2 2 5" xfId="195"/>
    <cellStyle name="Comma 2 2 2 6" xfId="196"/>
    <cellStyle name="Comma 2 2 2 7" xfId="197"/>
    <cellStyle name="Comma 2 2 2 8" xfId="198"/>
    <cellStyle name="Comma 2 2 2 9" xfId="199"/>
    <cellStyle name="Comma 2 2 3" xfId="200"/>
    <cellStyle name="Comma 2 2 3 2" xfId="201"/>
    <cellStyle name="Comma 2 2 4" xfId="202"/>
    <cellStyle name="Comma 2 2 4 2" xfId="203"/>
    <cellStyle name="Comma 2 2 4 3" xfId="204"/>
    <cellStyle name="Comma 2 2 4 4" xfId="205"/>
    <cellStyle name="Comma 2 2 4 5" xfId="206"/>
    <cellStyle name="Comma 2 2 5" xfId="207"/>
    <cellStyle name="Comma 2 2 5 2" xfId="208"/>
    <cellStyle name="Comma 2 2 6" xfId="209"/>
    <cellStyle name="Comma 2 2 7" xfId="210"/>
    <cellStyle name="Comma 2 2 8" xfId="211"/>
    <cellStyle name="Comma 2 2 9" xfId="212"/>
    <cellStyle name="Comma 2 20" xfId="213"/>
    <cellStyle name="Comma 2 21" xfId="214"/>
    <cellStyle name="Comma 2 22" xfId="215"/>
    <cellStyle name="Comma 2 23" xfId="216"/>
    <cellStyle name="Comma 2 3" xfId="217"/>
    <cellStyle name="Comma 2 3 10" xfId="218"/>
    <cellStyle name="Comma 2 3 11" xfId="219"/>
    <cellStyle name="Comma 2 3 2" xfId="220"/>
    <cellStyle name="Comma 2 3 2 2" xfId="221"/>
    <cellStyle name="Comma 2 3 2 3" xfId="222"/>
    <cellStyle name="Comma 2 3 2 4" xfId="223"/>
    <cellStyle name="Comma 2 3 2 5" xfId="224"/>
    <cellStyle name="Comma 2 3 3" xfId="225"/>
    <cellStyle name="Comma 2 3 4" xfId="226"/>
    <cellStyle name="Comma 2 3 4 2" xfId="227"/>
    <cellStyle name="Comma 2 3 4 3" xfId="228"/>
    <cellStyle name="Comma 2 3 5" xfId="229"/>
    <cellStyle name="Comma 2 3 6" xfId="230"/>
    <cellStyle name="Comma 2 3 7" xfId="231"/>
    <cellStyle name="Comma 2 3 8" xfId="232"/>
    <cellStyle name="Comma 2 3 9" xfId="233"/>
    <cellStyle name="Comma 2 4" xfId="234"/>
    <cellStyle name="Comma 2 4 2" xfId="235"/>
    <cellStyle name="Comma 2 4 2 2" xfId="236"/>
    <cellStyle name="Comma 2 4 2 3" xfId="237"/>
    <cellStyle name="Comma 2 4 2 4" xfId="238"/>
    <cellStyle name="Comma 2 4 2 5" xfId="239"/>
    <cellStyle name="Comma 2 4 2 6" xfId="240"/>
    <cellStyle name="Comma 2 4 3" xfId="241"/>
    <cellStyle name="Comma 2 4 4" xfId="242"/>
    <cellStyle name="Comma 2 4 5" xfId="243"/>
    <cellStyle name="Comma 2 4 6" xfId="244"/>
    <cellStyle name="Comma 2 4 7" xfId="245"/>
    <cellStyle name="Comma 2 4 8" xfId="246"/>
    <cellStyle name="Comma 2 5" xfId="247"/>
    <cellStyle name="Comma 2 5 2" xfId="248"/>
    <cellStyle name="Comma 2 5 2 2" xfId="249"/>
    <cellStyle name="Comma 2 5 2 3" xfId="250"/>
    <cellStyle name="Comma 2 5 2 4" xfId="251"/>
    <cellStyle name="Comma 2 5 2 5" xfId="252"/>
    <cellStyle name="Comma 2 5 2 6" xfId="253"/>
    <cellStyle name="Comma 2 5 3" xfId="254"/>
    <cellStyle name="Comma 2 6" xfId="255"/>
    <cellStyle name="Comma 2 6 2" xfId="256"/>
    <cellStyle name="Comma 2 6 3" xfId="257"/>
    <cellStyle name="Comma 2 6 4" xfId="258"/>
    <cellStyle name="Comma 2 7" xfId="259"/>
    <cellStyle name="Comma 2 7 2" xfId="260"/>
    <cellStyle name="Comma 2 7 3" xfId="261"/>
    <cellStyle name="Comma 2 8" xfId="262"/>
    <cellStyle name="Comma 2 8 2" xfId="263"/>
    <cellStyle name="Comma 2 8 2 2" xfId="264"/>
    <cellStyle name="Comma 2 8 3" xfId="265"/>
    <cellStyle name="Comma 2 8 4" xfId="266"/>
    <cellStyle name="Comma 2 8 4 2" xfId="267"/>
    <cellStyle name="Comma 2 8 4 3" xfId="268"/>
    <cellStyle name="Comma 2 8 4 4" xfId="269"/>
    <cellStyle name="Comma 2 8 4 5" xfId="270"/>
    <cellStyle name="Comma 2 8 4 6" xfId="271"/>
    <cellStyle name="Comma 2 8 5" xfId="272"/>
    <cellStyle name="Comma 2 8 6" xfId="273"/>
    <cellStyle name="Comma 2 8 7" xfId="274"/>
    <cellStyle name="Comma 2 8 8" xfId="275"/>
    <cellStyle name="Comma 2 9" xfId="276"/>
    <cellStyle name="Comma 2 9 2" xfId="277"/>
    <cellStyle name="Comma 2 9 3" xfId="278"/>
    <cellStyle name="Comma 2 9 4" xfId="279"/>
    <cellStyle name="Comma 2 9 5" xfId="280"/>
    <cellStyle name="Comma 20" xfId="281"/>
    <cellStyle name="Comma 20 2" xfId="282"/>
    <cellStyle name="Comma 20 2 2" xfId="283"/>
    <cellStyle name="Comma 20 2 2 2" xfId="284"/>
    <cellStyle name="Comma 20 2 3" xfId="285"/>
    <cellStyle name="Comma 20 3" xfId="286"/>
    <cellStyle name="Comma 20 3 2" xfId="287"/>
    <cellStyle name="Comma 20 4" xfId="288"/>
    <cellStyle name="Comma 20 4 2" xfId="289"/>
    <cellStyle name="Comma 20 5" xfId="290"/>
    <cellStyle name="Comma 20 5 2" xfId="291"/>
    <cellStyle name="Comma 20 6" xfId="292"/>
    <cellStyle name="Comma 20 6 2" xfId="293"/>
    <cellStyle name="Comma 20 7" xfId="294"/>
    <cellStyle name="Comma 21" xfId="295"/>
    <cellStyle name="Comma 21 2" xfId="296"/>
    <cellStyle name="Comma 21 3" xfId="297"/>
    <cellStyle name="Comma 21 4" xfId="298"/>
    <cellStyle name="Comma 21 5" xfId="299"/>
    <cellStyle name="Comma 22" xfId="300"/>
    <cellStyle name="Comma 23" xfId="301"/>
    <cellStyle name="Comma 23 2" xfId="302"/>
    <cellStyle name="Comma 23 2 2" xfId="303"/>
    <cellStyle name="Comma 24" xfId="304"/>
    <cellStyle name="Comma 24 2" xfId="305"/>
    <cellStyle name="Comma 25" xfId="306"/>
    <cellStyle name="Comma 25 2" xfId="307"/>
    <cellStyle name="Comma 25 2 2" xfId="308"/>
    <cellStyle name="Comma 25 2 3" xfId="309"/>
    <cellStyle name="Comma 25 2 4" xfId="310"/>
    <cellStyle name="Comma 25 3" xfId="311"/>
    <cellStyle name="Comma 26" xfId="312"/>
    <cellStyle name="Comma 26 2" xfId="313"/>
    <cellStyle name="Comma 26 2 2" xfId="314"/>
    <cellStyle name="Comma 26 3" xfId="315"/>
    <cellStyle name="Comma 26 3 2" xfId="316"/>
    <cellStyle name="Comma 26 4" xfId="317"/>
    <cellStyle name="Comma 27" xfId="318"/>
    <cellStyle name="Comma 27 2" xfId="319"/>
    <cellStyle name="Comma 28" xfId="320"/>
    <cellStyle name="Comma 28 2" xfId="321"/>
    <cellStyle name="Comma 28 2 2" xfId="322"/>
    <cellStyle name="Comma 28 2 3" xfId="323"/>
    <cellStyle name="Comma 28 2 4" xfId="324"/>
    <cellStyle name="Comma 28 2 5" xfId="325"/>
    <cellStyle name="Comma 28 3" xfId="326"/>
    <cellStyle name="Comma 28 4" xfId="327"/>
    <cellStyle name="Comma 28 5" xfId="328"/>
    <cellStyle name="Comma 28 6" xfId="329"/>
    <cellStyle name="Comma 28 7" xfId="330"/>
    <cellStyle name="Comma 29" xfId="331"/>
    <cellStyle name="Comma 29 10" xfId="332"/>
    <cellStyle name="Comma 29 2" xfId="333"/>
    <cellStyle name="Comma 29 2 2" xfId="334"/>
    <cellStyle name="Comma 29 2 3" xfId="335"/>
    <cellStyle name="Comma 29 2 4" xfId="336"/>
    <cellStyle name="Comma 29 2 5" xfId="337"/>
    <cellStyle name="Comma 29 2 6" xfId="338"/>
    <cellStyle name="Comma 29 3" xfId="339"/>
    <cellStyle name="Comma 29 4" xfId="340"/>
    <cellStyle name="Comma 29 5" xfId="341"/>
    <cellStyle name="Comma 29 6" xfId="342"/>
    <cellStyle name="Comma 29 7" xfId="343"/>
    <cellStyle name="Comma 29 8" xfId="344"/>
    <cellStyle name="Comma 29 9" xfId="345"/>
    <cellStyle name="Comma 3" xfId="346"/>
    <cellStyle name="Comma 3 10" xfId="347"/>
    <cellStyle name="Comma 3 11" xfId="348"/>
    <cellStyle name="Comma 3 12" xfId="349"/>
    <cellStyle name="Comma 3 13" xfId="350"/>
    <cellStyle name="Comma 3 14" xfId="351"/>
    <cellStyle name="Comma 3 2" xfId="352"/>
    <cellStyle name="Comma 3 2 10" xfId="353"/>
    <cellStyle name="Comma 3 2 11" xfId="354"/>
    <cellStyle name="Comma 3 2 12" xfId="355"/>
    <cellStyle name="Comma 3 2 2" xfId="356"/>
    <cellStyle name="Comma 3 2 2 10" xfId="357"/>
    <cellStyle name="Comma 3 2 2 11" xfId="358"/>
    <cellStyle name="Comma 3 2 2 2" xfId="359"/>
    <cellStyle name="Comma 3 2 2 2 2" xfId="360"/>
    <cellStyle name="Comma 3 2 2 3" xfId="361"/>
    <cellStyle name="Comma 3 2 2 4" xfId="362"/>
    <cellStyle name="Comma 3 2 2 5" xfId="363"/>
    <cellStyle name="Comma 3 2 2 6" xfId="364"/>
    <cellStyle name="Comma 3 2 2 7" xfId="365"/>
    <cellStyle name="Comma 3 2 2 8" xfId="366"/>
    <cellStyle name="Comma 3 2 2 9" xfId="367"/>
    <cellStyle name="Comma 3 2 3" xfId="368"/>
    <cellStyle name="Comma 3 2 3 2" xfId="369"/>
    <cellStyle name="Comma 3 2 3 3" xfId="370"/>
    <cellStyle name="Comma 3 2 3 4" xfId="371"/>
    <cellStyle name="Comma 3 2 3 5" xfId="372"/>
    <cellStyle name="Comma 3 2 3 6" xfId="373"/>
    <cellStyle name="Comma 3 2 3 7" xfId="374"/>
    <cellStyle name="Comma 3 2 3 8" xfId="375"/>
    <cellStyle name="Comma 3 2 4" xfId="376"/>
    <cellStyle name="Comma 3 2 5" xfId="377"/>
    <cellStyle name="Comma 3 2 6" xfId="378"/>
    <cellStyle name="Comma 3 2 7" xfId="379"/>
    <cellStyle name="Comma 3 2 8" xfId="380"/>
    <cellStyle name="Comma 3 2 9" xfId="381"/>
    <cellStyle name="Comma 3 3" xfId="382"/>
    <cellStyle name="Comma 3 3 2" xfId="383"/>
    <cellStyle name="Comma 3 3 2 2" xfId="384"/>
    <cellStyle name="Comma 3 3 3" xfId="385"/>
    <cellStyle name="Comma 3 3 3 2" xfId="386"/>
    <cellStyle name="Comma 3 3 4" xfId="387"/>
    <cellStyle name="Comma 3 4" xfId="388"/>
    <cellStyle name="Comma 3 4 2" xfId="389"/>
    <cellStyle name="Comma 3 5" xfId="390"/>
    <cellStyle name="Comma 3 5 2" xfId="391"/>
    <cellStyle name="Comma 3 5 2 2" xfId="392"/>
    <cellStyle name="Comma 3 5 2 3" xfId="393"/>
    <cellStyle name="Comma 3 5 2 4" xfId="394"/>
    <cellStyle name="Comma 3 5 2 5" xfId="395"/>
    <cellStyle name="Comma 3 5 2 6" xfId="396"/>
    <cellStyle name="Comma 3 6" xfId="397"/>
    <cellStyle name="Comma 3 6 10" xfId="398"/>
    <cellStyle name="Comma 3 6 11" xfId="399"/>
    <cellStyle name="Comma 3 6 12" xfId="400"/>
    <cellStyle name="Comma 3 6 2" xfId="401"/>
    <cellStyle name="Comma 3 6 3" xfId="402"/>
    <cellStyle name="Comma 3 6 4" xfId="403"/>
    <cellStyle name="Comma 3 6 5" xfId="404"/>
    <cellStyle name="Comma 3 6 6" xfId="405"/>
    <cellStyle name="Comma 3 6 7" xfId="406"/>
    <cellStyle name="Comma 3 6 8" xfId="407"/>
    <cellStyle name="Comma 3 6 9" xfId="408"/>
    <cellStyle name="Comma 3 7" xfId="409"/>
    <cellStyle name="Comma 3 7 2" xfId="410"/>
    <cellStyle name="Comma 3 7 3" xfId="411"/>
    <cellStyle name="Comma 3 7 4" xfId="412"/>
    <cellStyle name="Comma 3 7 5" xfId="413"/>
    <cellStyle name="Comma 3 8" xfId="414"/>
    <cellStyle name="Comma 3 8 2" xfId="415"/>
    <cellStyle name="Comma 3 8 3" xfId="416"/>
    <cellStyle name="Comma 3 8 4" xfId="417"/>
    <cellStyle name="Comma 3 8 5" xfId="418"/>
    <cellStyle name="Comma 3 9" xfId="419"/>
    <cellStyle name="Comma 3 9 2" xfId="420"/>
    <cellStyle name="Comma 3 9 3" xfId="421"/>
    <cellStyle name="Comma 3 9 4" xfId="422"/>
    <cellStyle name="Comma 3 9 5" xfId="423"/>
    <cellStyle name="Comma 30" xfId="424"/>
    <cellStyle name="Comma 31" xfId="425"/>
    <cellStyle name="Comma 32" xfId="426"/>
    <cellStyle name="Comma 32 2" xfId="427"/>
    <cellStyle name="Comma 33" xfId="428"/>
    <cellStyle name="Comma 33 2" xfId="429"/>
    <cellStyle name="Comma 33 3" xfId="430"/>
    <cellStyle name="Comma 33 4" xfId="431"/>
    <cellStyle name="Comma 33 5" xfId="432"/>
    <cellStyle name="Comma 33 6" xfId="433"/>
    <cellStyle name="Comma 34" xfId="434"/>
    <cellStyle name="Comma 35" xfId="435"/>
    <cellStyle name="Comma 35 2" xfId="436"/>
    <cellStyle name="Comma 35 3" xfId="437"/>
    <cellStyle name="Comma 35 3 2" xfId="438"/>
    <cellStyle name="Comma 35 4" xfId="439"/>
    <cellStyle name="Comma 35 5" xfId="440"/>
    <cellStyle name="Comma 35 6" xfId="441"/>
    <cellStyle name="Comma 36" xfId="442"/>
    <cellStyle name="Comma 37" xfId="443"/>
    <cellStyle name="Comma 38" xfId="444"/>
    <cellStyle name="Comma 39" xfId="445"/>
    <cellStyle name="Comma 4" xfId="446"/>
    <cellStyle name="Comma 4 10" xfId="447"/>
    <cellStyle name="Comma 4 11" xfId="448"/>
    <cellStyle name="Comma 4 12" xfId="449"/>
    <cellStyle name="Comma 4 2" xfId="450"/>
    <cellStyle name="Comma 4 2 10" xfId="451"/>
    <cellStyle name="Comma 4 2 11" xfId="452"/>
    <cellStyle name="Comma 4 2 12" xfId="453"/>
    <cellStyle name="Comma 4 2 2" xfId="454"/>
    <cellStyle name="Comma 4 2 2 2" xfId="455"/>
    <cellStyle name="Comma 4 2 2 2 2" xfId="456"/>
    <cellStyle name="Comma 4 2 3" xfId="457"/>
    <cellStyle name="Comma 4 2 3 2" xfId="458"/>
    <cellStyle name="Comma 4 2 3 2 2" xfId="459"/>
    <cellStyle name="Comma 4 2 3 3" xfId="460"/>
    <cellStyle name="Comma 4 2 3 4" xfId="461"/>
    <cellStyle name="Comma 4 2 3 5" xfId="462"/>
    <cellStyle name="Comma 4 2 3 6" xfId="463"/>
    <cellStyle name="Comma 4 2 3 7" xfId="464"/>
    <cellStyle name="Comma 4 2 4" xfId="465"/>
    <cellStyle name="Comma 4 2 5" xfId="466"/>
    <cellStyle name="Comma 4 2 6" xfId="467"/>
    <cellStyle name="Comma 4 2 7" xfId="468"/>
    <cellStyle name="Comma 4 2 8" xfId="469"/>
    <cellStyle name="Comma 4 2 9" xfId="470"/>
    <cellStyle name="Comma 4 3" xfId="471"/>
    <cellStyle name="Comma 4 3 10" xfId="472"/>
    <cellStyle name="Comma 4 3 2" xfId="473"/>
    <cellStyle name="Comma 4 3 2 2" xfId="474"/>
    <cellStyle name="Comma 4 3 2 2 2" xfId="475"/>
    <cellStyle name="Comma 4 3 2 3" xfId="476"/>
    <cellStyle name="Comma 4 3 3" xfId="477"/>
    <cellStyle name="Comma 4 3 3 2" xfId="478"/>
    <cellStyle name="Comma 4 3 4" xfId="479"/>
    <cellStyle name="Comma 4 3 4 2" xfId="480"/>
    <cellStyle name="Comma 4 3 5" xfId="481"/>
    <cellStyle name="Comma 4 3 6" xfId="482"/>
    <cellStyle name="Comma 4 3 7" xfId="483"/>
    <cellStyle name="Comma 4 3 8" xfId="484"/>
    <cellStyle name="Comma 4 3 9" xfId="485"/>
    <cellStyle name="Comma 4 4" xfId="486"/>
    <cellStyle name="Comma 4 4 2" xfId="487"/>
    <cellStyle name="Comma 4 4 3" xfId="488"/>
    <cellStyle name="Comma 4 4 4" xfId="489"/>
    <cellStyle name="Comma 4 4 5" xfId="490"/>
    <cellStyle name="Comma 4 4 6" xfId="491"/>
    <cellStyle name="Comma 4 5" xfId="492"/>
    <cellStyle name="Comma 4 5 2" xfId="493"/>
    <cellStyle name="Comma 4 5 2 2" xfId="494"/>
    <cellStyle name="Comma 4 5 2 2 2" xfId="495"/>
    <cellStyle name="Comma 4 5 2 3" xfId="496"/>
    <cellStyle name="Comma 4 5 3" xfId="497"/>
    <cellStyle name="Comma 4 6" xfId="498"/>
    <cellStyle name="Comma 4 7" xfId="499"/>
    <cellStyle name="Comma 4 8" xfId="500"/>
    <cellStyle name="Comma 4 9" xfId="501"/>
    <cellStyle name="Comma 40" xfId="502"/>
    <cellStyle name="Comma 41" xfId="503"/>
    <cellStyle name="Comma 42" xfId="504"/>
    <cellStyle name="Comma 43" xfId="505"/>
    <cellStyle name="Comma 44" xfId="506"/>
    <cellStyle name="Comma 45" xfId="507"/>
    <cellStyle name="Comma 46" xfId="508"/>
    <cellStyle name="Comma 47" xfId="509"/>
    <cellStyle name="Comma 5" xfId="510"/>
    <cellStyle name="Comma 5 2" xfId="511"/>
    <cellStyle name="Comma 5 2 10" xfId="512"/>
    <cellStyle name="Comma 5 2 11" xfId="513"/>
    <cellStyle name="Comma 5 2 12" xfId="514"/>
    <cellStyle name="Comma 5 2 2" xfId="515"/>
    <cellStyle name="Comma 5 2 2 2" xfId="516"/>
    <cellStyle name="Comma 5 2 2 2 2" xfId="517"/>
    <cellStyle name="Comma 5 2 2 3" xfId="518"/>
    <cellStyle name="Comma 5 2 3" xfId="519"/>
    <cellStyle name="Comma 5 2 4" xfId="520"/>
    <cellStyle name="Comma 5 2 5" xfId="521"/>
    <cellStyle name="Comma 5 2 6" xfId="522"/>
    <cellStyle name="Comma 5 2 7" xfId="523"/>
    <cellStyle name="Comma 5 2 8" xfId="524"/>
    <cellStyle name="Comma 5 2 9" xfId="525"/>
    <cellStyle name="Comma 5 3" xfId="526"/>
    <cellStyle name="Comma 5 3 2" xfId="527"/>
    <cellStyle name="Comma 5 3 2 2" xfId="528"/>
    <cellStyle name="Comma 5 3 2 2 10" xfId="529"/>
    <cellStyle name="Comma 5 3 2 2 11" xfId="530"/>
    <cellStyle name="Comma 5 3 2 2 2" xfId="531"/>
    <cellStyle name="Comma 5 3 2 2 2 2" xfId="532"/>
    <cellStyle name="Comma 5 3 2 2 2 2 2" xfId="533"/>
    <cellStyle name="Comma 5 3 2 2 2 2 3" xfId="534"/>
    <cellStyle name="Comma 5 3 2 2 3" xfId="535"/>
    <cellStyle name="Comma 5 3 2 2 3 2" xfId="536"/>
    <cellStyle name="Comma 5 3 2 2 4" xfId="537"/>
    <cellStyle name="Comma 5 3 2 2 5" xfId="538"/>
    <cellStyle name="Comma 5 3 2 2 6" xfId="539"/>
    <cellStyle name="Comma 5 3 2 2 7" xfId="540"/>
    <cellStyle name="Comma 5 3 2 2 8" xfId="541"/>
    <cellStyle name="Comma 5 3 2 2 9" xfId="542"/>
    <cellStyle name="Comma 5 3 2 3" xfId="543"/>
    <cellStyle name="Comma 5 3 2 3 2" xfId="544"/>
    <cellStyle name="Comma 5 3 2 4" xfId="545"/>
    <cellStyle name="Comma 5 3 2 4 2" xfId="546"/>
    <cellStyle name="Comma 5 3 2 5" xfId="547"/>
    <cellStyle name="Comma 5 3 3" xfId="548"/>
    <cellStyle name="Comma 5 3 3 2" xfId="549"/>
    <cellStyle name="Comma 5 3 3 2 2" xfId="550"/>
    <cellStyle name="Comma 5 3 3 3" xfId="551"/>
    <cellStyle name="Comma 5 3 4" xfId="552"/>
    <cellStyle name="Comma 5 4" xfId="553"/>
    <cellStyle name="Comma 5 4 2" xfId="554"/>
    <cellStyle name="Comma 5 5" xfId="555"/>
    <cellStyle name="Comma 5 6" xfId="556"/>
    <cellStyle name="Comma 5 7" xfId="557"/>
    <cellStyle name="Comma 6" xfId="558"/>
    <cellStyle name="Comma 6 2" xfId="559"/>
    <cellStyle name="Comma 6 2 2" xfId="560"/>
    <cellStyle name="Comma 6 2 2 2" xfId="561"/>
    <cellStyle name="Comma 6 2 2 2 2" xfId="562"/>
    <cellStyle name="Comma 6 2 2 2 2 2" xfId="563"/>
    <cellStyle name="Comma 6 2 2 2 3" xfId="564"/>
    <cellStyle name="Comma 6 2 2 3" xfId="565"/>
    <cellStyle name="Comma 6 2 3" xfId="566"/>
    <cellStyle name="Comma 6 2 4" xfId="567"/>
    <cellStyle name="Comma 6 2 5" xfId="568"/>
    <cellStyle name="Comma 6 2 6" xfId="569"/>
    <cellStyle name="Comma 6 3" xfId="570"/>
    <cellStyle name="Comma 6 3 2" xfId="571"/>
    <cellStyle name="Comma 6 3 2 2" xfId="572"/>
    <cellStyle name="Comma 6 3 2 2 2" xfId="573"/>
    <cellStyle name="Comma 6 4" xfId="574"/>
    <cellStyle name="Comma 6 5" xfId="575"/>
    <cellStyle name="Comma 6 6" xfId="576"/>
    <cellStyle name="Comma 6 7" xfId="577"/>
    <cellStyle name="Comma 7" xfId="578"/>
    <cellStyle name="Comma 7 10" xfId="579"/>
    <cellStyle name="Comma 7 2" xfId="580"/>
    <cellStyle name="Comma 7 2 2" xfId="581"/>
    <cellStyle name="Comma 7 2 2 2" xfId="582"/>
    <cellStyle name="Comma 7 2 2 2 2" xfId="583"/>
    <cellStyle name="Comma 7 2 2 2 2 2" xfId="584"/>
    <cellStyle name="Comma 7 2 2 2 3" xfId="585"/>
    <cellStyle name="Comma 7 2 2 3" xfId="586"/>
    <cellStyle name="Comma 7 2 2 3 2" xfId="587"/>
    <cellStyle name="Comma 7 2 2 4" xfId="588"/>
    <cellStyle name="Comma 7 2 2 5" xfId="589"/>
    <cellStyle name="Comma 7 2 2 6" xfId="590"/>
    <cellStyle name="Comma 7 2 2 7" xfId="591"/>
    <cellStyle name="Comma 7 2 2 8" xfId="592"/>
    <cellStyle name="Comma 7 2 2 9" xfId="593"/>
    <cellStyle name="Comma 7 2 3" xfId="594"/>
    <cellStyle name="Comma 7 3" xfId="595"/>
    <cellStyle name="Comma 7 3 10" xfId="596"/>
    <cellStyle name="Comma 7 3 11" xfId="597"/>
    <cellStyle name="Comma 7 3 12" xfId="598"/>
    <cellStyle name="Comma 7 3 2" xfId="599"/>
    <cellStyle name="Comma 7 3 2 2" xfId="600"/>
    <cellStyle name="Comma 7 3 2 2 2" xfId="601"/>
    <cellStyle name="Comma 7 3 2 2 2 2" xfId="602"/>
    <cellStyle name="Comma 7 3 2 2 3" xfId="603"/>
    <cellStyle name="Comma 7 3 2 2 4" xfId="604"/>
    <cellStyle name="Comma 7 3 2 2 5" xfId="605"/>
    <cellStyle name="Comma 7 3 2 2 6" xfId="606"/>
    <cellStyle name="Comma 7 3 2 2 7" xfId="607"/>
    <cellStyle name="Comma 7 3 2 2 8" xfId="608"/>
    <cellStyle name="Comma 7 3 2 3" xfId="609"/>
    <cellStyle name="Comma 7 3 2 3 2" xfId="610"/>
    <cellStyle name="Comma 7 3 2 4" xfId="611"/>
    <cellStyle name="Comma 7 3 3" xfId="612"/>
    <cellStyle name="Comma 7 3 4" xfId="613"/>
    <cellStyle name="Comma 7 3 5" xfId="614"/>
    <cellStyle name="Comma 7 3 6" xfId="615"/>
    <cellStyle name="Comma 7 3 7" xfId="616"/>
    <cellStyle name="Comma 7 3 8" xfId="617"/>
    <cellStyle name="Comma 7 3 9" xfId="618"/>
    <cellStyle name="Comma 7 4" xfId="619"/>
    <cellStyle name="Comma 7 5" xfId="620"/>
    <cellStyle name="Comma 7 6" xfId="621"/>
    <cellStyle name="Comma 7 7" xfId="622"/>
    <cellStyle name="Comma 7 8" xfId="623"/>
    <cellStyle name="Comma 7 9" xfId="624"/>
    <cellStyle name="Comma 8" xfId="625"/>
    <cellStyle name="Comma 8 2" xfId="626"/>
    <cellStyle name="Comma 8 2 10" xfId="627"/>
    <cellStyle name="Comma 8 2 11" xfId="628"/>
    <cellStyle name="Comma 8 2 12" xfId="629"/>
    <cellStyle name="Comma 8 2 2" xfId="630"/>
    <cellStyle name="Comma 8 2 2 2" xfId="631"/>
    <cellStyle name="Comma 8 2 2 2 2" xfId="632"/>
    <cellStyle name="Comma 8 2 2 3" xfId="633"/>
    <cellStyle name="Comma 8 2 3" xfId="634"/>
    <cellStyle name="Comma 8 2 4" xfId="635"/>
    <cellStyle name="Comma 8 2 5" xfId="636"/>
    <cellStyle name="Comma 8 2 6" xfId="637"/>
    <cellStyle name="Comma 8 2 7" xfId="638"/>
    <cellStyle name="Comma 8 2 8" xfId="639"/>
    <cellStyle name="Comma 8 2 9" xfId="640"/>
    <cellStyle name="Comma 8 3" xfId="641"/>
    <cellStyle name="Comma 8 4" xfId="642"/>
    <cellStyle name="Comma 8 5" xfId="643"/>
    <cellStyle name="Comma 9" xfId="644"/>
    <cellStyle name="Comma 9 2" xfId="645"/>
    <cellStyle name="Comma 9 3" xfId="646"/>
    <cellStyle name="Comma 9 4" xfId="647"/>
    <cellStyle name="Comma 9 5" xfId="648"/>
    <cellStyle name="Comma 9 6" xfId="649"/>
    <cellStyle name="Comma 9 7" xfId="650"/>
    <cellStyle name="Currency" xfId="651"/>
    <cellStyle name="Currency [0]" xfId="652"/>
    <cellStyle name="Currency 2" xfId="653"/>
    <cellStyle name="Currency 2 10" xfId="654"/>
    <cellStyle name="Currency 2 11" xfId="655"/>
    <cellStyle name="Currency 2 2" xfId="656"/>
    <cellStyle name="Currency 2 2 10" xfId="657"/>
    <cellStyle name="Currency 2 2 11" xfId="658"/>
    <cellStyle name="Currency 2 2 12" xfId="659"/>
    <cellStyle name="Currency 2 2 13" xfId="660"/>
    <cellStyle name="Currency 2 2 14" xfId="661"/>
    <cellStyle name="Currency 2 2 2" xfId="662"/>
    <cellStyle name="Currency 2 2 2 2" xfId="663"/>
    <cellStyle name="Currency 2 2 3" xfId="664"/>
    <cellStyle name="Currency 2 2 3 2" xfId="665"/>
    <cellStyle name="Currency 2 2 4" xfId="666"/>
    <cellStyle name="Currency 2 2 5" xfId="667"/>
    <cellStyle name="Currency 2 2 6" xfId="668"/>
    <cellStyle name="Currency 2 2 7" xfId="669"/>
    <cellStyle name="Currency 2 2 8" xfId="670"/>
    <cellStyle name="Currency 2 2 9" xfId="671"/>
    <cellStyle name="Currency 2 3" xfId="672"/>
    <cellStyle name="Currency 2 3 2" xfId="673"/>
    <cellStyle name="Currency 2 4" xfId="674"/>
    <cellStyle name="Currency 2 4 2" xfId="675"/>
    <cellStyle name="Currency 2 5" xfId="676"/>
    <cellStyle name="Currency 2 5 2" xfId="677"/>
    <cellStyle name="Currency 2 6" xfId="678"/>
    <cellStyle name="Currency 2 7" xfId="679"/>
    <cellStyle name="Currency 2 8" xfId="680"/>
    <cellStyle name="Currency 2 9" xfId="681"/>
    <cellStyle name="Currency 3" xfId="682"/>
    <cellStyle name="Currency 3 2" xfId="683"/>
    <cellStyle name="Currency 3 3" xfId="684"/>
    <cellStyle name="Currency 3 4" xfId="685"/>
    <cellStyle name="Currency 3 5" xfId="686"/>
    <cellStyle name="Currency 3 6" xfId="687"/>
    <cellStyle name="Euro" xfId="688"/>
    <cellStyle name="Explanatory Text" xfId="689"/>
    <cellStyle name="Good" xfId="690"/>
    <cellStyle name="Header Total_Cash Flow Forecast, 12 Months" xfId="691"/>
    <cellStyle name="Header1" xfId="692"/>
    <cellStyle name="Header2" xfId="693"/>
    <cellStyle name="Header3" xfId="694"/>
    <cellStyle name="Heading 1" xfId="695"/>
    <cellStyle name="Heading 2" xfId="696"/>
    <cellStyle name="Heading 3" xfId="697"/>
    <cellStyle name="Heading 4" xfId="698"/>
    <cellStyle name="Hyperlink" xfId="699"/>
    <cellStyle name="Hyperlink 2" xfId="700"/>
    <cellStyle name="Hyperlink 3" xfId="701"/>
    <cellStyle name="Input" xfId="702"/>
    <cellStyle name="Linked Cell" xfId="703"/>
    <cellStyle name="Neutral" xfId="704"/>
    <cellStyle name="Neutral 2" xfId="705"/>
    <cellStyle name="Normal 10" xfId="706"/>
    <cellStyle name="Normal 10 2" xfId="707"/>
    <cellStyle name="Normal 11" xfId="708"/>
    <cellStyle name="Normal 11 2" xfId="709"/>
    <cellStyle name="Normal 11 3" xfId="710"/>
    <cellStyle name="Normal 12" xfId="711"/>
    <cellStyle name="Normal 13" xfId="712"/>
    <cellStyle name="Normal 14" xfId="713"/>
    <cellStyle name="Normal 14 2" xfId="714"/>
    <cellStyle name="Normal 14 2 2" xfId="715"/>
    <cellStyle name="Normal 14 3" xfId="716"/>
    <cellStyle name="Normal 14 4" xfId="717"/>
    <cellStyle name="Normal 15" xfId="718"/>
    <cellStyle name="Normal 16" xfId="719"/>
    <cellStyle name="Normal 16 2" xfId="720"/>
    <cellStyle name="Normal 16 2 2" xfId="721"/>
    <cellStyle name="Normal 16 3" xfId="722"/>
    <cellStyle name="Normal 16 3 2" xfId="723"/>
    <cellStyle name="Normal 16 4" xfId="724"/>
    <cellStyle name="Normal 16 4 2" xfId="725"/>
    <cellStyle name="Normal 16 5" xfId="726"/>
    <cellStyle name="Normal 16 5 2" xfId="727"/>
    <cellStyle name="Normal 16 6" xfId="728"/>
    <cellStyle name="Normal 16 6 2" xfId="729"/>
    <cellStyle name="Normal 16 7" xfId="730"/>
    <cellStyle name="Normal 16 8" xfId="731"/>
    <cellStyle name="Normal 17" xfId="732"/>
    <cellStyle name="Normal 17 2" xfId="733"/>
    <cellStyle name="Normal 17 2 2" xfId="734"/>
    <cellStyle name="Normal 17 3" xfId="735"/>
    <cellStyle name="Normal 17 4" xfId="736"/>
    <cellStyle name="Normal 18" xfId="737"/>
    <cellStyle name="Normal 18 2" xfId="738"/>
    <cellStyle name="Normal 19" xfId="739"/>
    <cellStyle name="Normal 19 2" xfId="740"/>
    <cellStyle name="Normal 19 3" xfId="741"/>
    <cellStyle name="Normal 2" xfId="742"/>
    <cellStyle name="Normal 2 10" xfId="743"/>
    <cellStyle name="Normal 2 10 2" xfId="744"/>
    <cellStyle name="Normal 2 10 2 2" xfId="745"/>
    <cellStyle name="Normal 2 11" xfId="746"/>
    <cellStyle name="Normal 2 11 2" xfId="747"/>
    <cellStyle name="Normal 2 12" xfId="748"/>
    <cellStyle name="Normal 2 12 2" xfId="749"/>
    <cellStyle name="Normal 2 13" xfId="750"/>
    <cellStyle name="Normal 2 14" xfId="751"/>
    <cellStyle name="Normal 2 14 2" xfId="752"/>
    <cellStyle name="Normal 2 15" xfId="753"/>
    <cellStyle name="Normal 2 16" xfId="754"/>
    <cellStyle name="Normal 2 17" xfId="755"/>
    <cellStyle name="Normal 2 18" xfId="756"/>
    <cellStyle name="Normal 2 19" xfId="757"/>
    <cellStyle name="Normal 2 2" xfId="758"/>
    <cellStyle name="Normal 2 2 10" xfId="759"/>
    <cellStyle name="Normal 2 2 11" xfId="760"/>
    <cellStyle name="Normal 2 2 12" xfId="761"/>
    <cellStyle name="Normal 2 2 13" xfId="762"/>
    <cellStyle name="Normal 2 2 14" xfId="763"/>
    <cellStyle name="Normal 2 2 2" xfId="764"/>
    <cellStyle name="Normal 2 2 2 10" xfId="765"/>
    <cellStyle name="Normal 2 2 2 11" xfId="766"/>
    <cellStyle name="Normal 2 2 2 12" xfId="767"/>
    <cellStyle name="Normal 2 2 2 13" xfId="768"/>
    <cellStyle name="Normal 2 2 2 2" xfId="769"/>
    <cellStyle name="Normal 2 2 2 2 10" xfId="770"/>
    <cellStyle name="Normal 2 2 2 2 11" xfId="771"/>
    <cellStyle name="Normal 2 2 2 2 12" xfId="772"/>
    <cellStyle name="Normal 2 2 2 2 2" xfId="773"/>
    <cellStyle name="Normal 2 2 2 2 2 2" xfId="774"/>
    <cellStyle name="Normal 2 2 2 2 3" xfId="775"/>
    <cellStyle name="Normal 2 2 2 2 4" xfId="776"/>
    <cellStyle name="Normal 2 2 2 2 5" xfId="777"/>
    <cellStyle name="Normal 2 2 2 2 6" xfId="778"/>
    <cellStyle name="Normal 2 2 2 2 7" xfId="779"/>
    <cellStyle name="Normal 2 2 2 2 8" xfId="780"/>
    <cellStyle name="Normal 2 2 2 2 9" xfId="781"/>
    <cellStyle name="Normal 2 2 2 3" xfId="782"/>
    <cellStyle name="Normal 2 2 2 3 2" xfId="783"/>
    <cellStyle name="Normal 2 2 2 4" xfId="784"/>
    <cellStyle name="Normal 2 2 2 4 2" xfId="785"/>
    <cellStyle name="Normal 2 2 2 5" xfId="786"/>
    <cellStyle name="Normal 2 2 2 6" xfId="787"/>
    <cellStyle name="Normal 2 2 2 7" xfId="788"/>
    <cellStyle name="Normal 2 2 2 8" xfId="789"/>
    <cellStyle name="Normal 2 2 2 9" xfId="790"/>
    <cellStyle name="Normal 2 2 3" xfId="791"/>
    <cellStyle name="Normal 2 2 3 2" xfId="792"/>
    <cellStyle name="Normal 2 2 3 3" xfId="793"/>
    <cellStyle name="Normal 2 2 3 4" xfId="794"/>
    <cellStyle name="Normal 2 2 3 5" xfId="795"/>
    <cellStyle name="Normal 2 2 3 6" xfId="796"/>
    <cellStyle name="Normal 2 2 4" xfId="797"/>
    <cellStyle name="Normal 2 2 4 2" xfId="798"/>
    <cellStyle name="Normal 2 2 4 3" xfId="799"/>
    <cellStyle name="Normal 2 2 5" xfId="800"/>
    <cellStyle name="Normal 2 2 5 2" xfId="801"/>
    <cellStyle name="Normal 2 2 6" xfId="802"/>
    <cellStyle name="Normal 2 2 7" xfId="803"/>
    <cellStyle name="Normal 2 2 8" xfId="804"/>
    <cellStyle name="Normal 2 2 9" xfId="805"/>
    <cellStyle name="Normal 2 20" xfId="806"/>
    <cellStyle name="Normal 2 21" xfId="807"/>
    <cellStyle name="Normal 2 22" xfId="808"/>
    <cellStyle name="Normal 2 3" xfId="809"/>
    <cellStyle name="Normal 2 3 2" xfId="810"/>
    <cellStyle name="Normal 2 3 2 2" xfId="811"/>
    <cellStyle name="Normal 2 3 2 2 2" xfId="812"/>
    <cellStyle name="Normal 2 3 2 2 2 2" xfId="813"/>
    <cellStyle name="Normal 2 3 2 2 3" xfId="814"/>
    <cellStyle name="Normal 2 3 2 3" xfId="815"/>
    <cellStyle name="Normal 2 3 2 3 2" xfId="816"/>
    <cellStyle name="Normal 2 3 2 3 2 2" xfId="817"/>
    <cellStyle name="Normal 2 3 2 3 2 3" xfId="818"/>
    <cellStyle name="Normal 2 3 2 3 3" xfId="819"/>
    <cellStyle name="Normal 2 3 2 4" xfId="820"/>
    <cellStyle name="Normal 2 3 2 4 2" xfId="821"/>
    <cellStyle name="Normal 2 3 2 5" xfId="822"/>
    <cellStyle name="Normal 2 3 2 5 2" xfId="823"/>
    <cellStyle name="Normal 2 3 2 6" xfId="824"/>
    <cellStyle name="Normal 2 3 2 6 2" xfId="825"/>
    <cellStyle name="Normal 2 3 3" xfId="826"/>
    <cellStyle name="Normal 2 3 3 2" xfId="827"/>
    <cellStyle name="Normal 2 3 3 2 2" xfId="828"/>
    <cellStyle name="Normal 2 3 3 3" xfId="829"/>
    <cellStyle name="Normal 2 3 4" xfId="830"/>
    <cellStyle name="Normal 2 3 4 2" xfId="831"/>
    <cellStyle name="Normal 2 3 5" xfId="832"/>
    <cellStyle name="Normal 2 3 5 2" xfId="833"/>
    <cellStyle name="Normal 2 3 6" xfId="834"/>
    <cellStyle name="Normal 2 3 7" xfId="835"/>
    <cellStyle name="Normal 2 4" xfId="836"/>
    <cellStyle name="Normal 2 4 2" xfId="837"/>
    <cellStyle name="Normal 2 4 2 2" xfId="838"/>
    <cellStyle name="Normal 2 4 3" xfId="839"/>
    <cellStyle name="Normal 2 4 3 2" xfId="840"/>
    <cellStyle name="Normal 2 4 4" xfId="841"/>
    <cellStyle name="Normal 2 4 5" xfId="842"/>
    <cellStyle name="Normal 2 5" xfId="843"/>
    <cellStyle name="Normal 2 5 2" xfId="844"/>
    <cellStyle name="Normal 2 5 2 2" xfId="845"/>
    <cellStyle name="Normal 2 5 2 3" xfId="846"/>
    <cellStyle name="Normal 2 5 2 4" xfId="847"/>
    <cellStyle name="Normal 2 5 2 5" xfId="848"/>
    <cellStyle name="Normal 2 5 3" xfId="849"/>
    <cellStyle name="Normal 2 5 3 2" xfId="850"/>
    <cellStyle name="Normal 2 5 3 3" xfId="851"/>
    <cellStyle name="Normal 2 5 3 4" xfId="852"/>
    <cellStyle name="Normal 2 5 3 5" xfId="853"/>
    <cellStyle name="Normal 2 6" xfId="854"/>
    <cellStyle name="Normal 2 6 2" xfId="855"/>
    <cellStyle name="Normal 2 7" xfId="856"/>
    <cellStyle name="Normal 2 7 2" xfId="857"/>
    <cellStyle name="Normal 2 7 2 2" xfId="858"/>
    <cellStyle name="Normal 2 7 2 3" xfId="859"/>
    <cellStyle name="Normal 2 7 2 4" xfId="860"/>
    <cellStyle name="Normal 2 7 2 5" xfId="861"/>
    <cellStyle name="Normal 2 8" xfId="862"/>
    <cellStyle name="Normal 2 8 2" xfId="863"/>
    <cellStyle name="Normal 2 8 2 2" xfId="864"/>
    <cellStyle name="Normal 2 8 3" xfId="865"/>
    <cellStyle name="Normal 2 8 3 2" xfId="866"/>
    <cellStyle name="Normal 2 8 4" xfId="867"/>
    <cellStyle name="Normal 2 8 5" xfId="868"/>
    <cellStyle name="Normal 2 8 6" xfId="869"/>
    <cellStyle name="Normal 2 9" xfId="870"/>
    <cellStyle name="Normal 2 9 2" xfId="871"/>
    <cellStyle name="Normal 2 9 3" xfId="872"/>
    <cellStyle name="Normal 2 9 4" xfId="873"/>
    <cellStyle name="Normal 2 9 5" xfId="874"/>
    <cellStyle name="Normal 2_22222" xfId="875"/>
    <cellStyle name="Normal 20" xfId="876"/>
    <cellStyle name="Normal 20 2" xfId="877"/>
    <cellStyle name="Normal 20 3" xfId="878"/>
    <cellStyle name="Normal 20 4" xfId="879"/>
    <cellStyle name="Normal 20 5" xfId="880"/>
    <cellStyle name="Normal 20 6" xfId="881"/>
    <cellStyle name="Normal 20 7" xfId="882"/>
    <cellStyle name="Normal 21" xfId="883"/>
    <cellStyle name="Normal 21 2" xfId="884"/>
    <cellStyle name="Normal 21 3" xfId="885"/>
    <cellStyle name="Normal 21 4" xfId="886"/>
    <cellStyle name="Normal 21 5" xfId="887"/>
    <cellStyle name="Normal 22" xfId="888"/>
    <cellStyle name="Normal 22 2" xfId="889"/>
    <cellStyle name="Normal 22 3" xfId="890"/>
    <cellStyle name="Normal 22 4" xfId="891"/>
    <cellStyle name="Normal 22 5" xfId="892"/>
    <cellStyle name="Normal 23" xfId="893"/>
    <cellStyle name="Normal 23 2" xfId="894"/>
    <cellStyle name="Normal 24" xfId="895"/>
    <cellStyle name="Normal 24 2" xfId="896"/>
    <cellStyle name="Normal 25" xfId="897"/>
    <cellStyle name="Normal 26" xfId="898"/>
    <cellStyle name="Normal 27" xfId="899"/>
    <cellStyle name="Normal 28" xfId="900"/>
    <cellStyle name="Normal 29" xfId="901"/>
    <cellStyle name="Normal 3" xfId="902"/>
    <cellStyle name="Normal 3 2" xfId="903"/>
    <cellStyle name="Normal 3 2 2" xfId="904"/>
    <cellStyle name="Normal 3 2 2 2" xfId="905"/>
    <cellStyle name="Normal 3 2 2 3" xfId="906"/>
    <cellStyle name="Normal 3 2 3" xfId="907"/>
    <cellStyle name="Normal 3 2 4" xfId="908"/>
    <cellStyle name="Normal 3 2 5" xfId="909"/>
    <cellStyle name="Normal 3 2 6" xfId="910"/>
    <cellStyle name="Normal 3 2 7" xfId="911"/>
    <cellStyle name="Normal 3 3" xfId="912"/>
    <cellStyle name="Normal 3 3 2" xfId="913"/>
    <cellStyle name="Normal 3 3 3" xfId="914"/>
    <cellStyle name="Normal 3 3 4" xfId="915"/>
    <cellStyle name="Normal 3 3 5" xfId="916"/>
    <cellStyle name="Normal 3 3 6" xfId="917"/>
    <cellStyle name="Normal 3 4" xfId="918"/>
    <cellStyle name="Normal 3 4 2" xfId="919"/>
    <cellStyle name="Normal 3 4 3" xfId="920"/>
    <cellStyle name="Normal 3 5" xfId="921"/>
    <cellStyle name="Normal 3 5 2" xfId="922"/>
    <cellStyle name="Normal 3 5 3" xfId="923"/>
    <cellStyle name="Normal 3 5 4" xfId="924"/>
    <cellStyle name="Normal 3 5 5" xfId="925"/>
    <cellStyle name="Normal 3 6" xfId="926"/>
    <cellStyle name="Normal 3 6 2" xfId="927"/>
    <cellStyle name="Normal 3 6 3" xfId="928"/>
    <cellStyle name="Normal 3 6 4" xfId="929"/>
    <cellStyle name="Normal 3 6 5" xfId="930"/>
    <cellStyle name="Normal 3 7" xfId="931"/>
    <cellStyle name="Normal 3 8" xfId="932"/>
    <cellStyle name="Normal 3 9" xfId="933"/>
    <cellStyle name="Normal 3_22222" xfId="934"/>
    <cellStyle name="Normal 30" xfId="935"/>
    <cellStyle name="Normal 31" xfId="936"/>
    <cellStyle name="Normal 32" xfId="937"/>
    <cellStyle name="Normal 33" xfId="938"/>
    <cellStyle name="Normal 34" xfId="939"/>
    <cellStyle name="Normal 35" xfId="940"/>
    <cellStyle name="Normal 36" xfId="941"/>
    <cellStyle name="Normal 36 2" xfId="942"/>
    <cellStyle name="Normal 4" xfId="943"/>
    <cellStyle name="Normal 4 10" xfId="944"/>
    <cellStyle name="Normal 4 2" xfId="945"/>
    <cellStyle name="Normal 4 2 2" xfId="946"/>
    <cellStyle name="Normal 4 2 2 2" xfId="947"/>
    <cellStyle name="Normal 4 2 2 3" xfId="948"/>
    <cellStyle name="Normal 4 2 2 4" xfId="949"/>
    <cellStyle name="Normal 4 2 2 5" xfId="950"/>
    <cellStyle name="Normal 4 2 2 6" xfId="951"/>
    <cellStyle name="Normal 4 2 3" xfId="952"/>
    <cellStyle name="Normal 4 2 4" xfId="953"/>
    <cellStyle name="Normal 4 2 5" xfId="954"/>
    <cellStyle name="Normal 4 2 6" xfId="955"/>
    <cellStyle name="Normal 4 2 7" xfId="956"/>
    <cellStyle name="Normal 4 3" xfId="957"/>
    <cellStyle name="Normal 4 4" xfId="958"/>
    <cellStyle name="Normal 4 4 2" xfId="959"/>
    <cellStyle name="Normal 4 5" xfId="960"/>
    <cellStyle name="Normal 4 5 2" xfId="961"/>
    <cellStyle name="Normal 4 5 3" xfId="962"/>
    <cellStyle name="Normal 4 5 4" xfId="963"/>
    <cellStyle name="Normal 4 5 5" xfId="964"/>
    <cellStyle name="Normal 4 6" xfId="965"/>
    <cellStyle name="Normal 4 6 2" xfId="966"/>
    <cellStyle name="Normal 4 6 3" xfId="967"/>
    <cellStyle name="Normal 4 6 4" xfId="968"/>
    <cellStyle name="Normal 4 6 5" xfId="969"/>
    <cellStyle name="Normal 4 7" xfId="970"/>
    <cellStyle name="Normal 4 8" xfId="971"/>
    <cellStyle name="Normal 4 9" xfId="972"/>
    <cellStyle name="Normal 5" xfId="973"/>
    <cellStyle name="Normal 5 2" xfId="974"/>
    <cellStyle name="Normal 5 2 10" xfId="975"/>
    <cellStyle name="Normal 5 2 11" xfId="976"/>
    <cellStyle name="Normal 5 2 12" xfId="977"/>
    <cellStyle name="Normal 5 2 13" xfId="978"/>
    <cellStyle name="Normal 5 2 2" xfId="979"/>
    <cellStyle name="Normal 5 2 3" xfId="980"/>
    <cellStyle name="Normal 5 2 4" xfId="981"/>
    <cellStyle name="Normal 5 2 5" xfId="982"/>
    <cellStyle name="Normal 5 2 6" xfId="983"/>
    <cellStyle name="Normal 5 2 7" xfId="984"/>
    <cellStyle name="Normal 5 2 8" xfId="985"/>
    <cellStyle name="Normal 5 2 9" xfId="986"/>
    <cellStyle name="Normal 5 3" xfId="987"/>
    <cellStyle name="Normal 5 3 2" xfId="988"/>
    <cellStyle name="Normal 5 3 3" xfId="989"/>
    <cellStyle name="Normal 5 3 4" xfId="990"/>
    <cellStyle name="Normal 5 3 5" xfId="991"/>
    <cellStyle name="Normal 5 4" xfId="992"/>
    <cellStyle name="Normal 5 4 2" xfId="993"/>
    <cellStyle name="Normal 5 4 3" xfId="994"/>
    <cellStyle name="Normal 5 4 4" xfId="995"/>
    <cellStyle name="Normal 5 4 5" xfId="996"/>
    <cellStyle name="Normal 5 5" xfId="997"/>
    <cellStyle name="Normal 5 6" xfId="998"/>
    <cellStyle name="Normal 5 7" xfId="999"/>
    <cellStyle name="Normal 5 8" xfId="1000"/>
    <cellStyle name="Normal 6" xfId="1001"/>
    <cellStyle name="Normal 6 2" xfId="1002"/>
    <cellStyle name="Normal 6 2 2" xfId="1003"/>
    <cellStyle name="Normal 6 2 3" xfId="1004"/>
    <cellStyle name="Normal 6 2 4" xfId="1005"/>
    <cellStyle name="Normal 6 2 5" xfId="1006"/>
    <cellStyle name="Normal 6 2 6" xfId="1007"/>
    <cellStyle name="Normal 6 3" xfId="1008"/>
    <cellStyle name="Normal 7" xfId="1009"/>
    <cellStyle name="Normal 7 2" xfId="1010"/>
    <cellStyle name="Normal 7 2 2" xfId="1011"/>
    <cellStyle name="Normal 7 3" xfId="1012"/>
    <cellStyle name="Normal 7 3 2" xfId="1013"/>
    <cellStyle name="Normal 7 4" xfId="1014"/>
    <cellStyle name="Normal 7_Copy of suuliin 2014 tosov new" xfId="1015"/>
    <cellStyle name="Normal 8" xfId="1016"/>
    <cellStyle name="Normal 8 2" xfId="1017"/>
    <cellStyle name="Normal 8 2 2" xfId="1018"/>
    <cellStyle name="Normal 8 2 2 2" xfId="1019"/>
    <cellStyle name="Normal 8 3" xfId="1020"/>
    <cellStyle name="Normal 8 4" xfId="1021"/>
    <cellStyle name="Normal 9" xfId="1022"/>
    <cellStyle name="Normal 9 2" xfId="1023"/>
    <cellStyle name="Note" xfId="1024"/>
    <cellStyle name="Output" xfId="1025"/>
    <cellStyle name="Percent" xfId="1026"/>
    <cellStyle name="Percent 10" xfId="1027"/>
    <cellStyle name="Percent 10 2" xfId="1028"/>
    <cellStyle name="Percent 11" xfId="1029"/>
    <cellStyle name="Percent 11 2" xfId="1030"/>
    <cellStyle name="Percent 12" xfId="1031"/>
    <cellStyle name="Percent 12 2" xfId="1032"/>
    <cellStyle name="Percent 12 3" xfId="1033"/>
    <cellStyle name="Percent 12 4" xfId="1034"/>
    <cellStyle name="Percent 12 5" xfId="1035"/>
    <cellStyle name="Percent 13" xfId="1036"/>
    <cellStyle name="Percent 13 2" xfId="1037"/>
    <cellStyle name="Percent 13 3" xfId="1038"/>
    <cellStyle name="Percent 13 4" xfId="1039"/>
    <cellStyle name="Percent 13 5" xfId="1040"/>
    <cellStyle name="Percent 13 6" xfId="1041"/>
    <cellStyle name="Percent 14" xfId="1042"/>
    <cellStyle name="Percent 15" xfId="1043"/>
    <cellStyle name="Percent 16" xfId="1044"/>
    <cellStyle name="Percent 16 2" xfId="1045"/>
    <cellStyle name="Percent 17" xfId="1046"/>
    <cellStyle name="Percent 18" xfId="1047"/>
    <cellStyle name="Percent 19" xfId="1048"/>
    <cellStyle name="Percent 2" xfId="1049"/>
    <cellStyle name="Percent 2 10" xfId="1050"/>
    <cellStyle name="Percent 2 11" xfId="1051"/>
    <cellStyle name="Percent 2 12" xfId="1052"/>
    <cellStyle name="Percent 2 13" xfId="1053"/>
    <cellStyle name="Percent 2 14" xfId="1054"/>
    <cellStyle name="Percent 2 15" xfId="1055"/>
    <cellStyle name="Percent 2 16" xfId="1056"/>
    <cellStyle name="Percent 2 17" xfId="1057"/>
    <cellStyle name="Percent 2 18" xfId="1058"/>
    <cellStyle name="Percent 2 19" xfId="1059"/>
    <cellStyle name="Percent 2 2" xfId="1060"/>
    <cellStyle name="Percent 2 2 2" xfId="1061"/>
    <cellStyle name="Percent 2 2 2 2" xfId="1062"/>
    <cellStyle name="Percent 2 2 2 3" xfId="1063"/>
    <cellStyle name="Percent 2 2 3" xfId="1064"/>
    <cellStyle name="Percent 2 2 3 2" xfId="1065"/>
    <cellStyle name="Percent 2 2 3 3" xfId="1066"/>
    <cellStyle name="Percent 2 2 3 4" xfId="1067"/>
    <cellStyle name="Percent 2 2 3 5" xfId="1068"/>
    <cellStyle name="Percent 2 2 3 6" xfId="1069"/>
    <cellStyle name="Percent 2 2 4" xfId="1070"/>
    <cellStyle name="Percent 2 2 5" xfId="1071"/>
    <cellStyle name="Percent 2 2 6" xfId="1072"/>
    <cellStyle name="Percent 2 2 7" xfId="1073"/>
    <cellStyle name="Percent 2 2 8" xfId="1074"/>
    <cellStyle name="Percent 2 2 9" xfId="1075"/>
    <cellStyle name="Percent 2 3" xfId="1076"/>
    <cellStyle name="Percent 2 3 2" xfId="1077"/>
    <cellStyle name="Percent 2 3 3" xfId="1078"/>
    <cellStyle name="Percent 2 3 4" xfId="1079"/>
    <cellStyle name="Percent 2 3 5" xfId="1080"/>
    <cellStyle name="Percent 2 3 6" xfId="1081"/>
    <cellStyle name="Percent 2 4" xfId="1082"/>
    <cellStyle name="Percent 2 4 2" xfId="1083"/>
    <cellStyle name="Percent 2 5" xfId="1084"/>
    <cellStyle name="Percent 2 5 2" xfId="1085"/>
    <cellStyle name="Percent 2 5 3" xfId="1086"/>
    <cellStyle name="Percent 2 6" xfId="1087"/>
    <cellStyle name="Percent 2 6 2" xfId="1088"/>
    <cellStyle name="Percent 2 6 3" xfId="1089"/>
    <cellStyle name="Percent 2 6 4" xfId="1090"/>
    <cellStyle name="Percent 2 6 5" xfId="1091"/>
    <cellStyle name="Percent 2 6 6" xfId="1092"/>
    <cellStyle name="Percent 2 7" xfId="1093"/>
    <cellStyle name="Percent 2 7 2" xfId="1094"/>
    <cellStyle name="Percent 2 7 3" xfId="1095"/>
    <cellStyle name="Percent 2 8" xfId="1096"/>
    <cellStyle name="Percent 2 8 10" xfId="1097"/>
    <cellStyle name="Percent 2 8 2" xfId="1098"/>
    <cellStyle name="Percent 2 8 3" xfId="1099"/>
    <cellStyle name="Percent 2 8 4" xfId="1100"/>
    <cellStyle name="Percent 2 8 5" xfId="1101"/>
    <cellStyle name="Percent 2 8 6" xfId="1102"/>
    <cellStyle name="Percent 2 8 7" xfId="1103"/>
    <cellStyle name="Percent 2 8 8" xfId="1104"/>
    <cellStyle name="Percent 2 8 9" xfId="1105"/>
    <cellStyle name="Percent 2 9" xfId="1106"/>
    <cellStyle name="Percent 2 9 2" xfId="1107"/>
    <cellStyle name="Percent 2 9 3" xfId="1108"/>
    <cellStyle name="Percent 2 9 4" xfId="1109"/>
    <cellStyle name="Percent 2 9 5" xfId="1110"/>
    <cellStyle name="Percent 2 9 6" xfId="1111"/>
    <cellStyle name="Percent 20" xfId="1112"/>
    <cellStyle name="Percent 21" xfId="1113"/>
    <cellStyle name="Percent 3" xfId="1114"/>
    <cellStyle name="Percent 3 2" xfId="1115"/>
    <cellStyle name="Percent 3 2 2" xfId="1116"/>
    <cellStyle name="Percent 3 2 3" xfId="1117"/>
    <cellStyle name="Percent 3 2 4" xfId="1118"/>
    <cellStyle name="Percent 3 2 5" xfId="1119"/>
    <cellStyle name="Percent 3 2 6" xfId="1120"/>
    <cellStyle name="Percent 3 3" xfId="1121"/>
    <cellStyle name="Percent 3 3 2" xfId="1122"/>
    <cellStyle name="Percent 3 3 3" xfId="1123"/>
    <cellStyle name="Percent 3 3 4" xfId="1124"/>
    <cellStyle name="Percent 3 3 5" xfId="1125"/>
    <cellStyle name="Percent 3 4" xfId="1126"/>
    <cellStyle name="Percent 4" xfId="1127"/>
    <cellStyle name="Percent 4 2" xfId="1128"/>
    <cellStyle name="Percent 4 2 2" xfId="1129"/>
    <cellStyle name="Percent 4 3" xfId="1130"/>
    <cellStyle name="Percent 4 3 2" xfId="1131"/>
    <cellStyle name="Percent 4 4" xfId="1132"/>
    <cellStyle name="Percent 4 5" xfId="1133"/>
    <cellStyle name="Percent 4 6" xfId="1134"/>
    <cellStyle name="Percent 4 7" xfId="1135"/>
    <cellStyle name="Percent 4 8" xfId="1136"/>
    <cellStyle name="Percent 5" xfId="1137"/>
    <cellStyle name="Percent 5 2" xfId="1138"/>
    <cellStyle name="Percent 5 2 2" xfId="1139"/>
    <cellStyle name="Percent 5 3" xfId="1140"/>
    <cellStyle name="Percent 5 4" xfId="1141"/>
    <cellStyle name="Percent 6" xfId="1142"/>
    <cellStyle name="Percent 6 2" xfId="1143"/>
    <cellStyle name="Percent 7" xfId="1144"/>
    <cellStyle name="Percent 7 2" xfId="1145"/>
    <cellStyle name="Percent 8" xfId="1146"/>
    <cellStyle name="Percent 9" xfId="1147"/>
    <cellStyle name="Percent 9 2" xfId="1148"/>
    <cellStyle name="Title" xfId="1149"/>
    <cellStyle name="Total" xfId="1150"/>
    <cellStyle name="Warning Text" xfId="1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ek-Took\AppData\Roaming\Microsoft\Excel\2016X074%20(version%20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Shinekhuu\Downloads\DN-NEGTGEL042018-1%20(1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me\Downloads\ustgah%20bichilt%20hiisen%20tailan-2019.12.31%20-%20Copy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3OT\2019on\2019\balans2018.12.31\DN-negtgel-BALANCE-2018%20(1)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Shinekhuu\Desktop\DN-NEGTGEL042018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15\URAA\&#1058;&#1256;&#1052;&#1256;&#1056;%20&#1047;&#1040;&#1052;-78%20&#1040;&#1049;&#1051;\ganzorig\cash-ganzori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tmunh%20Doc%202016\2016\1%20sar\LF%202015%20orde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jil%20nekhii\Hangamj\hangamj\&#1061;&#1072;&#1085;&#1075;&#1072;&#1084;&#1078;%202016%20&#1084;&#1101;&#1076;&#1101;&#110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General\Users\Teek-Took\AppData\Roaming\Microsoft\Excel\2016X074%20(version%2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NC%202012\Leather%20DNC\BU-2%20balan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2013OT\2020on\sanhuugiin%20tailan%202019\DNHK-negtgel-BALANCE-2019xlsx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2013OT\2020on\balance-2020\balance-2020.02\New%20folder\ustgah%20bichilt%20hiisen%20tailan-2020.06.3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3\BALANS\New%20Folder\balans%202011-2012\balans%202011-2012\2009%203-r%20uliraliin%20balan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_ani"/>
      <sheetName val="Dia_art"/>
      <sheetName val="Dia_sou"/>
      <sheetName val="Dia_tan"/>
      <sheetName val="Dia_gra"/>
      <sheetName val="Dia_thi"/>
      <sheetName val="Dia_col"/>
      <sheetName val="Dia_gen"/>
      <sheetName val="Dia_pro"/>
      <sheetName val="Dia_wor"/>
      <sheetName val="Dia_cus"/>
      <sheetName val="Dia_cou"/>
      <sheetName val="Wetheadings"/>
      <sheetName val="Dia_tec"/>
      <sheetName val="Dia_cat"/>
      <sheetName val="Dia_res"/>
      <sheetName val="Dia_sty"/>
      <sheetName val="Macros"/>
      <sheetName val="Module1"/>
      <sheetName val="Module 2"/>
      <sheetName val="TRIAL 1"/>
      <sheetName val="TRIAL 2"/>
      <sheetName val="Sheet4"/>
    </sheetNames>
    <sheetDataSet>
      <sheetData sheetId="12">
        <row r="3">
          <cell r="B3" t="str">
            <v>Shoe upper</v>
          </cell>
          <cell r="C3" t="str">
            <v>Nappa</v>
          </cell>
          <cell r="D3" t="str">
            <v>Bovine</v>
          </cell>
          <cell r="E3" t="str">
            <v>Australia</v>
          </cell>
          <cell r="F3" t="str">
            <v>Chrome and retannage</v>
          </cell>
          <cell r="G3" t="str">
            <v>Full grain</v>
          </cell>
          <cell r="H3" t="str">
            <v>0,6~0,8 mm</v>
          </cell>
          <cell r="I3" t="str">
            <v>Any</v>
          </cell>
          <cell r="J3" t="str">
            <v>Better upgrading</v>
          </cell>
          <cell r="L3" t="str">
            <v>Direct from wet-blue</v>
          </cell>
          <cell r="M3" t="str">
            <v>APLF / Hong Kong</v>
          </cell>
          <cell r="N3" t="str">
            <v>Afghanistan</v>
          </cell>
          <cell r="O3" t="str">
            <v>Bäumer</v>
          </cell>
          <cell r="P3" t="str">
            <v>Internal development</v>
          </cell>
          <cell r="Q3" t="str">
            <v>Recommended</v>
          </cell>
        </row>
        <row r="4">
          <cell r="B4" t="str">
            <v>Upholstery</v>
          </cell>
          <cell r="C4" t="str">
            <v>Floater</v>
          </cell>
          <cell r="D4" t="str">
            <v>Sheep</v>
          </cell>
          <cell r="E4" t="str">
            <v>Germany</v>
          </cell>
          <cell r="F4" t="str">
            <v>Heavy vegetable retan</v>
          </cell>
          <cell r="G4" t="str">
            <v>Corrected grain</v>
          </cell>
          <cell r="H4" t="str">
            <v>0,7~0,9 mm</v>
          </cell>
          <cell r="I4" t="str">
            <v>Beige</v>
          </cell>
          <cell r="J4" t="str">
            <v>Fault covering</v>
          </cell>
          <cell r="L4" t="str">
            <v>Indirect from wet-blue</v>
          </cell>
          <cell r="M4" t="str">
            <v>Bangkok Tanners Group</v>
          </cell>
          <cell r="N4" t="str">
            <v>Algeria</v>
          </cell>
          <cell r="O4" t="str">
            <v>Clegg</v>
          </cell>
          <cell r="P4" t="str">
            <v>Internal for customer</v>
          </cell>
          <cell r="Q4" t="str">
            <v>Successful</v>
          </cell>
        </row>
        <row r="5">
          <cell r="B5" t="str">
            <v>Car seat</v>
          </cell>
          <cell r="C5" t="str">
            <v>Hunting</v>
          </cell>
          <cell r="D5" t="str">
            <v>Pigskin</v>
          </cell>
          <cell r="E5" t="str">
            <v>Holland</v>
          </cell>
          <cell r="F5" t="str">
            <v>Full-chrome</v>
          </cell>
          <cell r="G5" t="str">
            <v>Snuffed grain</v>
          </cell>
          <cell r="H5" t="str">
            <v>0,8~1,0 mm</v>
          </cell>
          <cell r="I5" t="str">
            <v>Black</v>
          </cell>
          <cell r="J5" t="str">
            <v>Good fogging resistance</v>
          </cell>
          <cell r="L5" t="str">
            <v>From wet-blue</v>
          </cell>
          <cell r="M5" t="str">
            <v>Best Tan</v>
          </cell>
          <cell r="N5" t="str">
            <v>Angola</v>
          </cell>
          <cell r="O5" t="str">
            <v>Current Recipes Leather</v>
          </cell>
          <cell r="P5" t="str">
            <v>Trial at customer</v>
          </cell>
          <cell r="Q5" t="str">
            <v>Satisfactory</v>
          </cell>
        </row>
        <row r="6">
          <cell r="B6" t="str">
            <v>Steering wheel</v>
          </cell>
          <cell r="C6" t="str">
            <v>Traditional</v>
          </cell>
          <cell r="D6" t="str">
            <v>Goat</v>
          </cell>
          <cell r="E6" t="str">
            <v>Ireland</v>
          </cell>
          <cell r="F6" t="str">
            <v>Pure vegetable</v>
          </cell>
          <cell r="G6" t="str">
            <v>Split</v>
          </cell>
          <cell r="H6" t="str">
            <v>0,9~1,1 mm</v>
          </cell>
          <cell r="I6" t="str">
            <v>Blue</v>
          </cell>
          <cell r="J6" t="str">
            <v>Heavy grain damage</v>
          </cell>
          <cell r="L6" t="str">
            <v>From pickle</v>
          </cell>
          <cell r="M6" t="str">
            <v>Bura Rak</v>
          </cell>
          <cell r="N6" t="str">
            <v>Argentina</v>
          </cell>
          <cell r="O6" t="str">
            <v>Denny</v>
          </cell>
          <cell r="P6" t="str">
            <v>Leather fair</v>
          </cell>
          <cell r="Q6" t="str">
            <v>Unsuccessful</v>
          </cell>
        </row>
        <row r="7">
          <cell r="B7" t="str">
            <v>Garment</v>
          </cell>
          <cell r="C7" t="str">
            <v>Box</v>
          </cell>
          <cell r="D7" t="str">
            <v>Buffalo</v>
          </cell>
          <cell r="E7" t="str">
            <v>New Zealand</v>
          </cell>
          <cell r="F7" t="str">
            <v>Waterproof</v>
          </cell>
          <cell r="G7" t="str">
            <v>Velour</v>
          </cell>
          <cell r="H7" t="str">
            <v>1,0~1,2 mm</v>
          </cell>
          <cell r="I7" t="str">
            <v>Brown</v>
          </cell>
          <cell r="J7" t="str">
            <v>High lightfastness</v>
          </cell>
          <cell r="L7" t="str">
            <v>From salted</v>
          </cell>
          <cell r="M7" t="str">
            <v>Chai Wattana</v>
          </cell>
          <cell r="N7" t="str">
            <v>Aruba</v>
          </cell>
          <cell r="O7" t="str">
            <v>Döbert</v>
          </cell>
          <cell r="P7" t="str">
            <v>Suggestion</v>
          </cell>
          <cell r="Q7" t="str">
            <v>Standard</v>
          </cell>
        </row>
        <row r="8">
          <cell r="B8" t="str">
            <v>Sport shoe upper</v>
          </cell>
          <cell r="C8" t="str">
            <v>Softy</v>
          </cell>
          <cell r="D8" t="str">
            <v>Calf</v>
          </cell>
          <cell r="E8" t="str">
            <v>South America</v>
          </cell>
          <cell r="F8" t="str">
            <v>Chrome-free</v>
          </cell>
          <cell r="G8" t="str">
            <v>Nubuk</v>
          </cell>
          <cell r="H8" t="str">
            <v>1,1~1,3 mm</v>
          </cell>
          <cell r="I8" t="str">
            <v>Dark brown</v>
          </cell>
          <cell r="J8" t="str">
            <v>Improved grain flexibility</v>
          </cell>
          <cell r="L8" t="str">
            <v>Direct</v>
          </cell>
          <cell r="M8" t="str">
            <v>Chau Kij</v>
          </cell>
          <cell r="N8" t="str">
            <v>Australia</v>
          </cell>
          <cell r="O8" t="str">
            <v>Fejer</v>
          </cell>
          <cell r="P8" t="str">
            <v>Prod. Management</v>
          </cell>
        </row>
        <row r="9">
          <cell r="B9" t="str">
            <v>Bag</v>
          </cell>
          <cell r="D9" t="str">
            <v>Deer</v>
          </cell>
          <cell r="E9" t="str">
            <v>South Germany</v>
          </cell>
          <cell r="F9" t="str">
            <v>Metal-free</v>
          </cell>
          <cell r="G9" t="str">
            <v>Suede</v>
          </cell>
          <cell r="H9" t="str">
            <v>1,2~1,4 mm</v>
          </cell>
          <cell r="I9" t="str">
            <v>Green</v>
          </cell>
          <cell r="J9" t="str">
            <v>Improved print retention</v>
          </cell>
          <cell r="L9" t="str">
            <v>Indirect</v>
          </cell>
          <cell r="M9" t="str">
            <v>Chin Tee Hua</v>
          </cell>
          <cell r="N9" t="str">
            <v>Austria</v>
          </cell>
          <cell r="O9" t="str">
            <v>Mari</v>
          </cell>
        </row>
        <row r="10">
          <cell r="B10" t="str">
            <v>Belt</v>
          </cell>
          <cell r="D10" t="str">
            <v>Horse</v>
          </cell>
          <cell r="E10" t="str">
            <v>Spain</v>
          </cell>
          <cell r="F10" t="str">
            <v>Water resistant</v>
          </cell>
          <cell r="G10" t="str">
            <v>Fleshside</v>
          </cell>
          <cell r="H10" t="str">
            <v>1,3~1,5 mm</v>
          </cell>
          <cell r="I10" t="str">
            <v>Grey</v>
          </cell>
          <cell r="J10" t="str">
            <v>Improved wet-rub resistance</v>
          </cell>
          <cell r="L10" t="str">
            <v>To crust</v>
          </cell>
          <cell r="M10" t="str">
            <v>Clariant Thailand</v>
          </cell>
          <cell r="N10" t="str">
            <v>Bahamas</v>
          </cell>
          <cell r="O10" t="str">
            <v>Schwarz</v>
          </cell>
        </row>
        <row r="11">
          <cell r="B11" t="str">
            <v>Lining</v>
          </cell>
          <cell r="D11" t="str">
            <v>Snake</v>
          </cell>
          <cell r="E11" t="str">
            <v>Thailand</v>
          </cell>
          <cell r="G11" t="str">
            <v>Full &amp; corrected</v>
          </cell>
          <cell r="H11" t="str">
            <v>1,4~1,6 mm</v>
          </cell>
          <cell r="I11" t="str">
            <v>Light brown</v>
          </cell>
          <cell r="J11" t="str">
            <v>Increased yield</v>
          </cell>
          <cell r="L11" t="str">
            <v>Direct from wet-white</v>
          </cell>
          <cell r="M11" t="str">
            <v>Hong Lee Heng</v>
          </cell>
          <cell r="N11" t="str">
            <v>Bahrain</v>
          </cell>
          <cell r="O11" t="str">
            <v>Wuttipong</v>
          </cell>
        </row>
        <row r="12">
          <cell r="B12" t="str">
            <v>Football boot</v>
          </cell>
          <cell r="D12" t="str">
            <v>Lizard</v>
          </cell>
          <cell r="E12" t="str">
            <v>UK</v>
          </cell>
          <cell r="H12" t="str">
            <v>1,5~1,7 mm</v>
          </cell>
          <cell r="I12" t="str">
            <v>Olive</v>
          </cell>
          <cell r="J12" t="str">
            <v>Loose grain problems</v>
          </cell>
          <cell r="M12" t="str">
            <v>Internal</v>
          </cell>
          <cell r="N12" t="str">
            <v>Bangladesh</v>
          </cell>
        </row>
        <row r="13">
          <cell r="B13" t="str">
            <v>Fancy leather</v>
          </cell>
          <cell r="D13" t="str">
            <v>Crocodile</v>
          </cell>
          <cell r="E13" t="str">
            <v>Unknown</v>
          </cell>
          <cell r="H13" t="str">
            <v>1,6~1,8 mm</v>
          </cell>
          <cell r="I13" t="str">
            <v>Orange</v>
          </cell>
          <cell r="J13" t="str">
            <v>Softness</v>
          </cell>
          <cell r="M13" t="str">
            <v>JSC</v>
          </cell>
          <cell r="N13" t="str">
            <v>Barbados</v>
          </cell>
        </row>
        <row r="14">
          <cell r="B14" t="str">
            <v>Base ball glove</v>
          </cell>
          <cell r="D14" t="str">
            <v>Fish</v>
          </cell>
          <cell r="E14" t="str">
            <v>USA</v>
          </cell>
          <cell r="H14" t="str">
            <v>1,7~1,9 mm</v>
          </cell>
          <cell r="I14" t="str">
            <v>Pink</v>
          </cell>
          <cell r="J14" t="str">
            <v>Tensile strength</v>
          </cell>
          <cell r="M14" t="str">
            <v>Kong Siri</v>
          </cell>
          <cell r="N14" t="str">
            <v>Belgium</v>
          </cell>
        </row>
        <row r="15">
          <cell r="B15" t="str">
            <v>Basketball</v>
          </cell>
          <cell r="D15" t="str">
            <v>Kip</v>
          </cell>
          <cell r="H15" t="str">
            <v>1,8~2,0 mm</v>
          </cell>
          <cell r="I15" t="str">
            <v>Red</v>
          </cell>
          <cell r="J15" t="str">
            <v>Water resistance required</v>
          </cell>
          <cell r="M15" t="str">
            <v>Lotus</v>
          </cell>
          <cell r="N15" t="str">
            <v>Belize</v>
          </cell>
        </row>
        <row r="16">
          <cell r="B16" t="str">
            <v>Volleyball</v>
          </cell>
          <cell r="H16" t="str">
            <v>1,9~2,1 mm</v>
          </cell>
          <cell r="I16" t="str">
            <v>Red brown</v>
          </cell>
          <cell r="M16" t="str">
            <v>Samutprakarn</v>
          </cell>
          <cell r="N16" t="str">
            <v>Bermuda</v>
          </cell>
        </row>
        <row r="17">
          <cell r="B17" t="str">
            <v>Football</v>
          </cell>
          <cell r="H17" t="str">
            <v>2,0~2,2 mm</v>
          </cell>
          <cell r="I17" t="str">
            <v>Tan brown</v>
          </cell>
          <cell r="M17" t="str">
            <v>Sangwangkit</v>
          </cell>
          <cell r="N17" t="str">
            <v>Bolivia</v>
          </cell>
        </row>
        <row r="18">
          <cell r="B18" t="str">
            <v>Combat boot</v>
          </cell>
          <cell r="H18" t="str">
            <v>2,1~2,3 mm</v>
          </cell>
          <cell r="I18" t="str">
            <v>White</v>
          </cell>
          <cell r="M18" t="str">
            <v>SIC / Paris</v>
          </cell>
          <cell r="N18" t="str">
            <v>Bosnia</v>
          </cell>
        </row>
        <row r="19">
          <cell r="B19" t="str">
            <v>Boot upper</v>
          </cell>
          <cell r="H19" t="str">
            <v>2,2~2,4 mm</v>
          </cell>
          <cell r="I19" t="str">
            <v>Yellow</v>
          </cell>
          <cell r="M19" t="str">
            <v>Wollsdorf</v>
          </cell>
          <cell r="N19" t="str">
            <v>Brazil</v>
          </cell>
        </row>
        <row r="20">
          <cell r="B20" t="str">
            <v>Safety shoe upper</v>
          </cell>
          <cell r="H20" t="str">
            <v>2,3~2,5 mm</v>
          </cell>
          <cell r="N20" t="str">
            <v>Bulgaria</v>
          </cell>
        </row>
        <row r="21">
          <cell r="H21" t="str">
            <v>2,4~2,6 mm</v>
          </cell>
          <cell r="N21" t="str">
            <v>Burma</v>
          </cell>
        </row>
        <row r="22">
          <cell r="H22" t="str">
            <v>2,5~2,7 mm</v>
          </cell>
          <cell r="N22" t="str">
            <v>Cambodia</v>
          </cell>
        </row>
        <row r="23">
          <cell r="H23" t="str">
            <v>2,6~2,8 mm</v>
          </cell>
          <cell r="N23" t="str">
            <v>Cameroon</v>
          </cell>
        </row>
        <row r="24">
          <cell r="H24" t="str">
            <v>2,7~2,9 mm</v>
          </cell>
          <cell r="N24" t="str">
            <v>Canada</v>
          </cell>
        </row>
        <row r="25">
          <cell r="H25" t="str">
            <v>2,8~3,0 mm</v>
          </cell>
          <cell r="N25" t="str">
            <v>Chile</v>
          </cell>
        </row>
        <row r="26">
          <cell r="H26" t="str">
            <v>2,9~3,1 mm</v>
          </cell>
          <cell r="N26" t="str">
            <v>China</v>
          </cell>
        </row>
        <row r="27">
          <cell r="H27" t="str">
            <v>3,0~3,2 mm</v>
          </cell>
          <cell r="N27" t="str">
            <v>Columbia</v>
          </cell>
        </row>
        <row r="28">
          <cell r="N28" t="str">
            <v>Costa Rica</v>
          </cell>
        </row>
        <row r="29">
          <cell r="N29" t="str">
            <v>Croatia</v>
          </cell>
        </row>
        <row r="30">
          <cell r="N30" t="str">
            <v>Cuba</v>
          </cell>
        </row>
        <row r="31">
          <cell r="N31" t="str">
            <v>Curaçao (N. Ant.)</v>
          </cell>
        </row>
        <row r="32">
          <cell r="N32" t="str">
            <v>Cyprus</v>
          </cell>
        </row>
        <row r="33">
          <cell r="N33" t="str">
            <v>Czech Rep.</v>
          </cell>
        </row>
        <row r="34">
          <cell r="N34" t="str">
            <v>Denmark</v>
          </cell>
        </row>
        <row r="35">
          <cell r="N35" t="str">
            <v>Dominican Rep.</v>
          </cell>
        </row>
        <row r="36">
          <cell r="N36" t="str">
            <v>Ecuador</v>
          </cell>
        </row>
        <row r="37">
          <cell r="N37" t="str">
            <v>Egypt</v>
          </cell>
        </row>
        <row r="38">
          <cell r="N38" t="str">
            <v>El Salvador</v>
          </cell>
        </row>
        <row r="39">
          <cell r="N39" t="str">
            <v>Estonia</v>
          </cell>
        </row>
        <row r="40">
          <cell r="N40" t="str">
            <v>Ethiopia</v>
          </cell>
        </row>
        <row r="41">
          <cell r="N41" t="str">
            <v>Finland</v>
          </cell>
        </row>
        <row r="42">
          <cell r="N42" t="str">
            <v>France</v>
          </cell>
        </row>
        <row r="43">
          <cell r="N43" t="str">
            <v>Germany</v>
          </cell>
        </row>
        <row r="44">
          <cell r="N44" t="str">
            <v>Ghana</v>
          </cell>
        </row>
        <row r="45">
          <cell r="N45" t="str">
            <v>Gibralta</v>
          </cell>
        </row>
        <row r="46">
          <cell r="N46" t="str">
            <v>Greece</v>
          </cell>
        </row>
        <row r="47">
          <cell r="N47" t="str">
            <v>Guatemala</v>
          </cell>
        </row>
        <row r="48">
          <cell r="N48" t="str">
            <v>Guyana</v>
          </cell>
        </row>
        <row r="49">
          <cell r="N49" t="str">
            <v>Haiti</v>
          </cell>
        </row>
        <row r="50">
          <cell r="N50" t="str">
            <v>Honduras</v>
          </cell>
        </row>
        <row r="51">
          <cell r="N51" t="str">
            <v>Hong Kong</v>
          </cell>
        </row>
        <row r="52">
          <cell r="N52" t="str">
            <v>Hungary</v>
          </cell>
        </row>
        <row r="53">
          <cell r="N53" t="str">
            <v>India</v>
          </cell>
        </row>
        <row r="54">
          <cell r="N54" t="str">
            <v>Indonesia</v>
          </cell>
        </row>
        <row r="55">
          <cell r="N55" t="str">
            <v>Iran</v>
          </cell>
        </row>
        <row r="56">
          <cell r="N56" t="str">
            <v>Iraq</v>
          </cell>
        </row>
        <row r="57">
          <cell r="N57" t="str">
            <v>Ireland</v>
          </cell>
        </row>
        <row r="58">
          <cell r="N58" t="str">
            <v>Israel</v>
          </cell>
        </row>
        <row r="59">
          <cell r="N59" t="str">
            <v>Italy</v>
          </cell>
        </row>
        <row r="60">
          <cell r="N60" t="str">
            <v>Ivory Coast</v>
          </cell>
        </row>
        <row r="61">
          <cell r="N61" t="str">
            <v>Jamaica</v>
          </cell>
        </row>
        <row r="62">
          <cell r="N62" t="str">
            <v>Japan</v>
          </cell>
        </row>
        <row r="63">
          <cell r="N63" t="str">
            <v>Jordan</v>
          </cell>
        </row>
        <row r="64">
          <cell r="N64" t="str">
            <v>Kenya</v>
          </cell>
        </row>
        <row r="65">
          <cell r="N65" t="str">
            <v>Kuwait</v>
          </cell>
        </row>
        <row r="66">
          <cell r="N66" t="str">
            <v>Laos</v>
          </cell>
        </row>
        <row r="67">
          <cell r="N67" t="str">
            <v>Lebanon</v>
          </cell>
        </row>
        <row r="68">
          <cell r="N68" t="str">
            <v>Liberia</v>
          </cell>
        </row>
        <row r="69">
          <cell r="N69" t="str">
            <v>Lithuania</v>
          </cell>
        </row>
        <row r="70">
          <cell r="N70" t="str">
            <v>Macedonia</v>
          </cell>
        </row>
        <row r="71">
          <cell r="N71" t="str">
            <v>Madagascar</v>
          </cell>
        </row>
        <row r="72">
          <cell r="N72" t="str">
            <v>Malaysia</v>
          </cell>
        </row>
        <row r="73">
          <cell r="N73" t="str">
            <v>Malta</v>
          </cell>
        </row>
        <row r="74">
          <cell r="N74" t="str">
            <v>Mauritius</v>
          </cell>
        </row>
        <row r="75">
          <cell r="N75" t="str">
            <v>Mexico</v>
          </cell>
        </row>
        <row r="76">
          <cell r="N76" t="str">
            <v>Mongolia</v>
          </cell>
        </row>
        <row r="77">
          <cell r="N77" t="str">
            <v>Morocco</v>
          </cell>
        </row>
        <row r="78">
          <cell r="N78" t="str">
            <v>Nepal</v>
          </cell>
        </row>
        <row r="79">
          <cell r="N79" t="str">
            <v>Netherlands</v>
          </cell>
        </row>
        <row r="80">
          <cell r="N80" t="str">
            <v>New Zealand</v>
          </cell>
        </row>
        <row r="81">
          <cell r="N81" t="str">
            <v>Nicaragua</v>
          </cell>
        </row>
        <row r="82">
          <cell r="N82" t="str">
            <v>Nigeria</v>
          </cell>
        </row>
        <row r="83">
          <cell r="N83" t="str">
            <v>North Korea</v>
          </cell>
        </row>
        <row r="84">
          <cell r="N84" t="str">
            <v>Norway</v>
          </cell>
        </row>
        <row r="85">
          <cell r="N85" t="str">
            <v>Oman</v>
          </cell>
        </row>
        <row r="86">
          <cell r="N86" t="str">
            <v>Pakistan</v>
          </cell>
        </row>
        <row r="87">
          <cell r="N87" t="str">
            <v>Panama</v>
          </cell>
        </row>
        <row r="88">
          <cell r="N88" t="str">
            <v>Paraguay</v>
          </cell>
        </row>
        <row r="89">
          <cell r="N89" t="str">
            <v>Peru</v>
          </cell>
        </row>
        <row r="90">
          <cell r="N90" t="str">
            <v>Philippines</v>
          </cell>
        </row>
        <row r="91">
          <cell r="N91" t="str">
            <v>Poland</v>
          </cell>
        </row>
        <row r="92">
          <cell r="N92" t="str">
            <v>Portugal</v>
          </cell>
        </row>
        <row r="93">
          <cell r="N93" t="str">
            <v>Puerto Rico</v>
          </cell>
        </row>
        <row r="94">
          <cell r="N94" t="str">
            <v>Qatar</v>
          </cell>
        </row>
        <row r="95">
          <cell r="N95" t="str">
            <v>Rep. of Yemen</v>
          </cell>
        </row>
        <row r="96">
          <cell r="N96" t="str">
            <v>Romania</v>
          </cell>
        </row>
        <row r="97">
          <cell r="N97" t="str">
            <v>Russia</v>
          </cell>
        </row>
        <row r="98">
          <cell r="N98" t="str">
            <v>Saudi Arabia</v>
          </cell>
        </row>
        <row r="99">
          <cell r="N99" t="str">
            <v>Senegal</v>
          </cell>
        </row>
        <row r="100">
          <cell r="N100" t="str">
            <v>Serbia</v>
          </cell>
        </row>
        <row r="101">
          <cell r="N101" t="str">
            <v>Sierra Leone</v>
          </cell>
        </row>
        <row r="102">
          <cell r="N102" t="str">
            <v>Singapore</v>
          </cell>
        </row>
        <row r="103">
          <cell r="N103" t="str">
            <v>Slovakia</v>
          </cell>
        </row>
        <row r="104">
          <cell r="N104" t="str">
            <v>Slovenia</v>
          </cell>
        </row>
        <row r="105">
          <cell r="N105" t="str">
            <v>South Africa</v>
          </cell>
        </row>
        <row r="106">
          <cell r="N106" t="str">
            <v>South Korea</v>
          </cell>
        </row>
        <row r="107">
          <cell r="N107" t="str">
            <v>Spain</v>
          </cell>
        </row>
        <row r="108">
          <cell r="N108" t="str">
            <v>Sri Lanka</v>
          </cell>
        </row>
        <row r="109">
          <cell r="N109" t="str">
            <v>Sudan</v>
          </cell>
        </row>
        <row r="110">
          <cell r="N110" t="str">
            <v>Surinam</v>
          </cell>
        </row>
        <row r="111">
          <cell r="N111" t="str">
            <v>Swaziland</v>
          </cell>
        </row>
        <row r="112">
          <cell r="N112" t="str">
            <v>Sweden</v>
          </cell>
        </row>
        <row r="113">
          <cell r="N113" t="str">
            <v>Switzerland</v>
          </cell>
        </row>
        <row r="114">
          <cell r="N114" t="str">
            <v>Syria</v>
          </cell>
        </row>
        <row r="115">
          <cell r="N115" t="str">
            <v>Taiwan</v>
          </cell>
        </row>
        <row r="116">
          <cell r="N116" t="str">
            <v>Thailand</v>
          </cell>
        </row>
        <row r="117">
          <cell r="N117" t="str">
            <v>Trinidad</v>
          </cell>
        </row>
        <row r="118">
          <cell r="N118" t="str">
            <v>Tunisia</v>
          </cell>
        </row>
        <row r="119">
          <cell r="N119" t="str">
            <v>Turkey</v>
          </cell>
        </row>
        <row r="120">
          <cell r="N120" t="str">
            <v>Ukraine</v>
          </cell>
        </row>
        <row r="121">
          <cell r="N121" t="str">
            <v>Union of Myana</v>
          </cell>
        </row>
        <row r="122">
          <cell r="N122" t="str">
            <v>United Arab Em.</v>
          </cell>
        </row>
        <row r="123">
          <cell r="N123" t="str">
            <v>United Kingdom</v>
          </cell>
        </row>
        <row r="124">
          <cell r="N124" t="str">
            <v>Uruguay</v>
          </cell>
        </row>
        <row r="125">
          <cell r="N125" t="str">
            <v>USA</v>
          </cell>
        </row>
        <row r="126">
          <cell r="N126" t="str">
            <v>Venezuela</v>
          </cell>
        </row>
        <row r="127">
          <cell r="N127" t="str">
            <v>Vietnam</v>
          </cell>
        </row>
        <row r="128">
          <cell r="N128" t="str">
            <v>Zaire</v>
          </cell>
        </row>
        <row r="129">
          <cell r="N129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1-2014on"/>
      <sheetName val="Sheet1"/>
      <sheetName val="Sheet2"/>
      <sheetName val="CT-1-10 (2)"/>
      <sheetName val="Sheet3"/>
      <sheetName val="Sheet4"/>
      <sheetName val="u.hor"/>
      <sheetName val="Sheet5"/>
      <sheetName val="CT-01"/>
      <sheetName val="CT-02"/>
      <sheetName val="ST-4-9"/>
      <sheetName val="CT-4"/>
      <sheetName val="balance- 12.31"/>
      <sheetName val="OT tuhsaah -12.31-нэгтгэл"/>
      <sheetName val="хуваарьлагдах зардал"/>
      <sheetName val="1-2"/>
      <sheetName val="1-4.1"/>
      <sheetName val="5-8"/>
      <sheetName val="9"/>
      <sheetName val="10-13"/>
      <sheetName val="15-21"/>
    </sheetNames>
    <sheetDataSet>
      <sheetData sheetId="8">
        <row r="68">
          <cell r="AD68">
            <v>3986951754.79</v>
          </cell>
          <cell r="AK68">
            <v>3986951.755</v>
          </cell>
        </row>
        <row r="69">
          <cell r="AD69">
            <v>1262728758.34</v>
          </cell>
          <cell r="AK69">
            <v>1272992.22979</v>
          </cell>
        </row>
        <row r="71">
          <cell r="AD71">
            <v>-16428491.6</v>
          </cell>
        </row>
        <row r="72">
          <cell r="AD72">
            <v>-106648582.98</v>
          </cell>
          <cell r="AE72">
            <v>-106648582.98</v>
          </cell>
        </row>
        <row r="73">
          <cell r="AD73">
            <v>19334524603.971615</v>
          </cell>
          <cell r="AE73">
            <v>19334524603.97</v>
          </cell>
        </row>
        <row r="75">
          <cell r="AD75">
            <v>3690308525.53</v>
          </cell>
          <cell r="AE75">
            <v>3702920178.25</v>
          </cell>
        </row>
        <row r="76">
          <cell r="AD76">
            <v>14483931043.6776</v>
          </cell>
          <cell r="AE76">
            <v>14191319107.4</v>
          </cell>
        </row>
        <row r="77">
          <cell r="AD77">
            <v>299575620.9499999</v>
          </cell>
          <cell r="AE77">
            <v>1051075288.1600001</v>
          </cell>
        </row>
        <row r="79">
          <cell r="AD79">
            <v>42934943232.679214</v>
          </cell>
          <cell r="AE79">
            <v>43416706087.590004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T-01"/>
      <sheetName val="CT-02"/>
      <sheetName val="CT-3"/>
      <sheetName val="ct4"/>
      <sheetName val="Бараа мат"/>
      <sheetName val="сибир-2019"/>
      <sheetName val="CT-4"/>
      <sheetName val="нийт авлага өглөг"/>
      <sheetName val="ком хооронд"/>
      <sheetName val="авлага"/>
      <sheetName val="өглөг"/>
      <sheetName val="1-2"/>
      <sheetName val="1-4.1"/>
      <sheetName val="5-8"/>
      <sheetName val="9"/>
      <sheetName val="10-13"/>
      <sheetName val="15-21"/>
      <sheetName val="zassan"/>
      <sheetName val="Sheet1"/>
      <sheetName val="татвар ндш"/>
      <sheetName val="tolson tatvar"/>
      <sheetName val="UTT"/>
      <sheetName val="tsalin"/>
      <sheetName val="үндсэн хөрөнгө"/>
      <sheetName val="Sheet4"/>
      <sheetName val="Sheet2"/>
      <sheetName val="Sheet5"/>
    </sheetNames>
    <sheetDataSet>
      <sheetData sheetId="1">
        <row r="18">
          <cell r="Y18">
            <v>1425911948.0600002</v>
          </cell>
        </row>
        <row r="20">
          <cell r="Y20">
            <v>422842931.98</v>
          </cell>
        </row>
        <row r="21">
          <cell r="Y21">
            <v>2148884328.11</v>
          </cell>
        </row>
        <row r="22">
          <cell r="Y22">
            <v>4096411138.9899993</v>
          </cell>
        </row>
        <row r="24">
          <cell r="Y24">
            <v>1247436384.67</v>
          </cell>
        </row>
        <row r="25">
          <cell r="Y25">
            <v>755972844.4300001</v>
          </cell>
        </row>
        <row r="27">
          <cell r="Y27">
            <v>4630618272.349999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uur-Á (2)"/>
      <sheetName val="Nuur-Á"/>
      <sheetName val="ST-1"/>
      <sheetName val="ct02"/>
      <sheetName val="ct03."/>
      <sheetName val="CT-4"/>
      <sheetName val="ӨӨТ"/>
      <sheetName val="1-4"/>
      <sheetName val="5-8"/>
      <sheetName val="9"/>
      <sheetName val="11-13"/>
      <sheetName val="14-16,5"/>
      <sheetName val="16,6-19,3"/>
      <sheetName val="20-22,3"/>
      <sheetName val="22,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1-2014on"/>
      <sheetName val="Sheet1"/>
      <sheetName val="Sheet2"/>
      <sheetName val="CT-1-10 (2)"/>
      <sheetName val="Sheet3"/>
      <sheetName val="Sheet4"/>
      <sheetName val="Sheet5"/>
      <sheetName val="CT-01"/>
      <sheetName val="CT-02"/>
      <sheetName val="balance- 12.31"/>
      <sheetName val="OT tuhsaah -12.31-нэгтгэл"/>
      <sheetName val="хуваарьлагдах зардал"/>
      <sheetName val="ST-4-9"/>
      <sheetName val="ST-1"/>
      <sheetName val="ct02-10"/>
      <sheetName val="1-2"/>
      <sheetName val="1-4.1"/>
      <sheetName val="5-8"/>
      <sheetName val="9"/>
      <sheetName val="u.hor"/>
      <sheetName val="10-13"/>
      <sheetName val="15-21"/>
    </sheetNames>
    <sheetDataSet>
      <sheetData sheetId="19">
        <row r="6">
          <cell r="AQ6">
            <v>24988309438.82</v>
          </cell>
        </row>
        <row r="8">
          <cell r="AQ8">
            <v>8264308269</v>
          </cell>
        </row>
        <row r="10">
          <cell r="AQ10">
            <v>173303834</v>
          </cell>
        </row>
        <row r="12">
          <cell r="AQ12">
            <v>304374572.09000003</v>
          </cell>
          <cell r="AU12">
            <v>8079936.240000024</v>
          </cell>
        </row>
        <row r="14">
          <cell r="AQ14">
            <v>25957651.299999997</v>
          </cell>
          <cell r="AU14">
            <v>63328182.36</v>
          </cell>
        </row>
      </sheetData>
      <sheetData sheetId="21">
        <row r="161">
          <cell r="F161">
            <v>801019338</v>
          </cell>
        </row>
        <row r="170">
          <cell r="E170">
            <v>434553795.09380907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"/>
      <sheetName val="medeelel"/>
      <sheetName val="huvaari"/>
      <sheetName val="undsen medeelel"/>
      <sheetName val="Sheet1"/>
      <sheetName val="chart_calcs"/>
    </sheetNames>
    <sheetDataSet>
      <sheetData sheetId="1">
        <row r="5">
          <cell r="C5">
            <v>518948</v>
          </cell>
        </row>
        <row r="6">
          <cell r="C6">
            <v>674833</v>
          </cell>
        </row>
        <row r="7">
          <cell r="C7">
            <v>184850</v>
          </cell>
        </row>
        <row r="8">
          <cell r="C8">
            <v>805487</v>
          </cell>
        </row>
        <row r="9">
          <cell r="C9">
            <v>535222</v>
          </cell>
        </row>
        <row r="10">
          <cell r="C10">
            <v>504394</v>
          </cell>
        </row>
        <row r="11">
          <cell r="C11">
            <v>509687</v>
          </cell>
        </row>
        <row r="12">
          <cell r="C12">
            <v>728698</v>
          </cell>
        </row>
        <row r="13">
          <cell r="C13">
            <v>307263</v>
          </cell>
        </row>
        <row r="14">
          <cell r="C14">
            <v>404478</v>
          </cell>
        </row>
        <row r="15">
          <cell r="C15">
            <v>225099</v>
          </cell>
        </row>
        <row r="16">
          <cell r="C16">
            <v>661686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 sheep (4)"/>
      <sheetName val="Sheet1"/>
      <sheetName val="Antique glossy"/>
      <sheetName val="Glossy flanks"/>
      <sheetName val="Sport finish British tan"/>
      <sheetName val="LF Madu"/>
      <sheetName val="C2"/>
      <sheetName val="LF_Standart_Shoes_1"/>
      <sheetName val="LF_Standart_Shoes_2"/>
      <sheetName val="LF sheep"/>
      <sheetName val="LF sheep (2)"/>
      <sheetName val="LF_Standart_Garment_2 (2)"/>
      <sheetName val="LF sheep (3)"/>
      <sheetName val="LF_Standart_Shoes_2 (2)"/>
      <sheetName val="LF_Standart_Shoes_2 (3)"/>
      <sheetName val="нэгтгэсэн мэдээ 01.23-25 (2)"/>
    </sheetNames>
    <sheetDataSet>
      <sheetData sheetId="2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>
            <v>0</v>
          </cell>
          <cell r="Q16">
            <v>0</v>
          </cell>
        </row>
        <row r="17">
          <cell r="K17" t="str">
            <v>Water</v>
          </cell>
          <cell r="Q17">
            <v>0.1699322563835331</v>
          </cell>
        </row>
        <row r="18">
          <cell r="K18" t="str">
            <v>DL-2221</v>
          </cell>
          <cell r="Q18">
            <v>0.01</v>
          </cell>
        </row>
        <row r="19">
          <cell r="K19" t="str">
            <v>RU-13-134</v>
          </cell>
          <cell r="Q19">
            <v>0.013789473684210527</v>
          </cell>
        </row>
        <row r="20">
          <cell r="K20" t="str">
            <v>RU-73-989</v>
          </cell>
          <cell r="Q20">
            <v>0.01263157894736842</v>
          </cell>
        </row>
        <row r="21">
          <cell r="K21" t="str">
            <v>FI-50</v>
          </cell>
          <cell r="Q21">
            <v>0.003789473684210526</v>
          </cell>
        </row>
        <row r="22">
          <cell r="K22" t="str">
            <v>BI-372</v>
          </cell>
          <cell r="Q22">
            <v>0.00631578947368421</v>
          </cell>
        </row>
        <row r="23">
          <cell r="K23" t="str">
            <v>BI-596</v>
          </cell>
          <cell r="Q23">
            <v>0.02413757165190203</v>
          </cell>
        </row>
        <row r="24">
          <cell r="K24" t="str">
            <v>BI-1370</v>
          </cell>
          <cell r="Q24">
            <v>0.00631578947368421</v>
          </cell>
        </row>
        <row r="25">
          <cell r="K25" t="str">
            <v>LD-5915</v>
          </cell>
          <cell r="Q25">
            <v>0.00631578947368421</v>
          </cell>
        </row>
        <row r="26">
          <cell r="K26" t="str">
            <v>EX-WT-72-500</v>
          </cell>
          <cell r="Q26">
            <v>0.04158415841584158</v>
          </cell>
        </row>
        <row r="27">
          <cell r="K27" t="str">
            <v>HM-51-760</v>
          </cell>
          <cell r="Q27">
            <v>0.001188118811881188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  <row r="32">
          <cell r="K32">
            <v>0</v>
          </cell>
          <cell r="Q32">
            <v>0</v>
          </cell>
        </row>
        <row r="33">
          <cell r="K33">
            <v>0</v>
          </cell>
          <cell r="Q33">
            <v>0</v>
          </cell>
        </row>
        <row r="34">
          <cell r="K34">
            <v>0</v>
          </cell>
          <cell r="Q34">
            <v>0</v>
          </cell>
        </row>
        <row r="35">
          <cell r="K35">
            <v>0</v>
          </cell>
          <cell r="Q35">
            <v>0</v>
          </cell>
        </row>
        <row r="36">
          <cell r="K36">
            <v>0</v>
          </cell>
          <cell r="Q36">
            <v>0</v>
          </cell>
        </row>
        <row r="37">
          <cell r="K37">
            <v>0</v>
          </cell>
          <cell r="Q37">
            <v>0</v>
          </cell>
        </row>
        <row r="38">
          <cell r="K38">
            <v>0</v>
          </cell>
          <cell r="Q38">
            <v>0</v>
          </cell>
        </row>
      </sheetData>
      <sheetData sheetId="3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 t="str">
            <v>FI-13-798</v>
          </cell>
          <cell r="Q16">
            <v>0.096</v>
          </cell>
        </row>
        <row r="17">
          <cell r="K17" t="str">
            <v>Water</v>
          </cell>
          <cell r="Q17">
            <v>0</v>
          </cell>
        </row>
        <row r="18">
          <cell r="K18" t="str">
            <v>DL-2221</v>
          </cell>
          <cell r="Q18">
            <v>0.012</v>
          </cell>
        </row>
        <row r="19">
          <cell r="K19" t="str">
            <v>RU-13-134</v>
          </cell>
          <cell r="Q19">
            <v>0.015789473684210527</v>
          </cell>
        </row>
        <row r="20">
          <cell r="K20" t="str">
            <v>RU-73-989</v>
          </cell>
          <cell r="Q20">
            <v>0.01263157894736842</v>
          </cell>
        </row>
        <row r="21">
          <cell r="K21" t="str">
            <v>FI-50</v>
          </cell>
          <cell r="Q21">
            <v>0.003789473684210526</v>
          </cell>
        </row>
        <row r="22">
          <cell r="K22" t="str">
            <v>BI-372</v>
          </cell>
          <cell r="Q22">
            <v>0.00631578947368421</v>
          </cell>
        </row>
        <row r="23">
          <cell r="K23" t="str">
            <v>BI-596</v>
          </cell>
          <cell r="Q23">
            <v>0.01819697759249609</v>
          </cell>
        </row>
        <row r="24">
          <cell r="K24" t="str">
            <v>BI-1370</v>
          </cell>
          <cell r="Q24">
            <v>0.00631578947368421</v>
          </cell>
        </row>
        <row r="25">
          <cell r="K25" t="str">
            <v>LD-5915</v>
          </cell>
          <cell r="Q25">
            <v>0.00631578947368421</v>
          </cell>
        </row>
        <row r="26">
          <cell r="K26" t="str">
            <v>EX-WT-72-500</v>
          </cell>
          <cell r="Q26">
            <v>0.02772277227722772</v>
          </cell>
        </row>
        <row r="27">
          <cell r="K27" t="str">
            <v>HM-51-760</v>
          </cell>
          <cell r="Q27">
            <v>0.0007920792079207921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  <row r="32">
          <cell r="K32">
            <v>0</v>
          </cell>
          <cell r="Q32">
            <v>0</v>
          </cell>
        </row>
        <row r="33">
          <cell r="K33">
            <v>0</v>
          </cell>
          <cell r="Q33">
            <v>0</v>
          </cell>
        </row>
        <row r="34">
          <cell r="K34">
            <v>0</v>
          </cell>
          <cell r="Q34">
            <v>0</v>
          </cell>
        </row>
        <row r="35">
          <cell r="K35">
            <v>0</v>
          </cell>
          <cell r="Q35">
            <v>0</v>
          </cell>
        </row>
        <row r="36">
          <cell r="K36">
            <v>0</v>
          </cell>
          <cell r="Q36">
            <v>0</v>
          </cell>
        </row>
        <row r="37">
          <cell r="K37">
            <v>0</v>
          </cell>
          <cell r="Q37">
            <v>0</v>
          </cell>
        </row>
        <row r="38">
          <cell r="K38">
            <v>0</v>
          </cell>
          <cell r="Q38">
            <v>0</v>
          </cell>
        </row>
      </sheetData>
      <sheetData sheetId="4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 t="str">
            <v>Water</v>
          </cell>
          <cell r="Q16">
            <v>0</v>
          </cell>
        </row>
        <row r="17">
          <cell r="K17" t="str">
            <v>INTRAFIN MS-2</v>
          </cell>
          <cell r="Q17">
            <v>0.18</v>
          </cell>
        </row>
        <row r="18">
          <cell r="K18" t="str">
            <v>COMPOUND /8L/</v>
          </cell>
          <cell r="Q18">
            <v>0.26422018348623855</v>
          </cell>
        </row>
        <row r="19">
          <cell r="K19" t="str">
            <v>REGEL/U125N/</v>
          </cell>
          <cell r="Q19">
            <v>0.05284403669724771</v>
          </cell>
        </row>
        <row r="20">
          <cell r="K20" t="str">
            <v>FI-50</v>
          </cell>
          <cell r="Q20">
            <v>0.06605504587155964</v>
          </cell>
        </row>
        <row r="21">
          <cell r="K21" t="str">
            <v>Regel PU-301</v>
          </cell>
          <cell r="Q21">
            <v>0.0066055045871559635</v>
          </cell>
        </row>
        <row r="22">
          <cell r="K22" t="str">
            <v>ECOPIGMENT/BLACK/</v>
          </cell>
          <cell r="Q22">
            <v>0.21456989735670814</v>
          </cell>
        </row>
        <row r="23">
          <cell r="K23" t="str">
            <v>NOVOLAC /LFT/</v>
          </cell>
          <cell r="Q23">
            <v>0.0029702970297029703</v>
          </cell>
        </row>
        <row r="24">
          <cell r="K24">
            <v>0</v>
          </cell>
          <cell r="Q24">
            <v>0</v>
          </cell>
        </row>
        <row r="25">
          <cell r="K25">
            <v>0</v>
          </cell>
          <cell r="Q25">
            <v>0</v>
          </cell>
        </row>
        <row r="26">
          <cell r="K26">
            <v>0</v>
          </cell>
          <cell r="Q26">
            <v>0</v>
          </cell>
        </row>
        <row r="27">
          <cell r="K27">
            <v>0</v>
          </cell>
          <cell r="Q27">
            <v>0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  <row r="32">
          <cell r="K32">
            <v>0</v>
          </cell>
          <cell r="Q32">
            <v>0</v>
          </cell>
        </row>
        <row r="33">
          <cell r="K33">
            <v>0</v>
          </cell>
          <cell r="Q33">
            <v>0</v>
          </cell>
        </row>
        <row r="34">
          <cell r="K34">
            <v>0</v>
          </cell>
          <cell r="Q34">
            <v>0</v>
          </cell>
        </row>
        <row r="35">
          <cell r="K35">
            <v>0</v>
          </cell>
          <cell r="Q35">
            <v>0</v>
          </cell>
        </row>
        <row r="36">
          <cell r="K36">
            <v>0</v>
          </cell>
          <cell r="Q36">
            <v>0</v>
          </cell>
        </row>
        <row r="37">
          <cell r="K37">
            <v>0</v>
          </cell>
          <cell r="Q37">
            <v>0</v>
          </cell>
        </row>
        <row r="38">
          <cell r="K38">
            <v>0</v>
          </cell>
          <cell r="Q38">
            <v>0</v>
          </cell>
        </row>
      </sheetData>
      <sheetData sheetId="5">
        <row r="14">
          <cell r="K14" t="str">
            <v>gr</v>
          </cell>
          <cell r="Q14">
            <v>0</v>
          </cell>
        </row>
        <row r="15">
          <cell r="K15" t="str">
            <v>Total gr</v>
          </cell>
          <cell r="Q15">
            <v>0</v>
          </cell>
        </row>
        <row r="16">
          <cell r="K16" t="str">
            <v>Water</v>
          </cell>
          <cell r="Q16">
            <v>0</v>
          </cell>
        </row>
        <row r="17">
          <cell r="K17" t="str">
            <v>INTRAFIN MS-2</v>
          </cell>
          <cell r="Q17">
            <v>0.18</v>
          </cell>
        </row>
        <row r="18">
          <cell r="K18" t="str">
            <v>COMPOUND /8L/</v>
          </cell>
          <cell r="Q18">
            <v>0.26422018348623855</v>
          </cell>
        </row>
        <row r="19">
          <cell r="K19" t="str">
            <v>REGEL/U125N/</v>
          </cell>
          <cell r="Q19">
            <v>0.05284403669724771</v>
          </cell>
        </row>
        <row r="20">
          <cell r="K20" t="str">
            <v>FI-50</v>
          </cell>
          <cell r="Q20">
            <v>0.06605504587155964</v>
          </cell>
        </row>
        <row r="21">
          <cell r="K21" t="str">
            <v>Regel PU-301</v>
          </cell>
          <cell r="Q21">
            <v>0.0066055045871559635</v>
          </cell>
        </row>
        <row r="22">
          <cell r="K22" t="str">
            <v>ECOPIGMENT/BLACK/</v>
          </cell>
          <cell r="Q22">
            <v>0.21456989735670814</v>
          </cell>
        </row>
        <row r="23">
          <cell r="K23" t="str">
            <v>NOVOLAC /LFT/</v>
          </cell>
          <cell r="Q23">
            <v>0.0029702970297029703</v>
          </cell>
        </row>
        <row r="24">
          <cell r="K24">
            <v>0</v>
          </cell>
          <cell r="Q24">
            <v>0</v>
          </cell>
        </row>
        <row r="25">
          <cell r="K25">
            <v>0</v>
          </cell>
          <cell r="Q25">
            <v>0</v>
          </cell>
        </row>
        <row r="26">
          <cell r="K26">
            <v>0</v>
          </cell>
          <cell r="Q26">
            <v>0</v>
          </cell>
        </row>
        <row r="27">
          <cell r="K27">
            <v>0</v>
          </cell>
          <cell r="Q27">
            <v>0</v>
          </cell>
        </row>
        <row r="28">
          <cell r="K28">
            <v>0</v>
          </cell>
          <cell r="Q28">
            <v>0</v>
          </cell>
        </row>
        <row r="29">
          <cell r="K29">
            <v>0</v>
          </cell>
          <cell r="Q29">
            <v>0</v>
          </cell>
        </row>
        <row r="30">
          <cell r="K30">
            <v>0</v>
          </cell>
          <cell r="Q30">
            <v>0</v>
          </cell>
        </row>
        <row r="31">
          <cell r="K31">
            <v>0</v>
          </cell>
          <cell r="Q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хангамж мэдээ 2015"/>
      <sheetName val="хангамж мэдээ 2016"/>
      <sheetName val="хими мат "/>
      <sheetName val="хими мат - 1 "/>
      <sheetName val="Хими мат борлуулалт"/>
      <sheetName val="Сэлбэг борлуулалт"/>
      <sheetName val="Сав борлуулалт"/>
      <sheetName val="Технологи хуудас картлав"/>
      <sheetName val="Технологи хуудас (2)"/>
      <sheetName val="Wet-End"/>
      <sheetName val="Finishing"/>
      <sheetName val="Сав шуудай"/>
      <sheetName val="chart_calcs"/>
      <sheetName val="дараа тайлан"/>
      <sheetName val="хэмжээ"/>
      <sheetName val="УБ борлуулалт"/>
      <sheetName val="Түрээс төлбөр"/>
      <sheetName val="Sheet1"/>
      <sheetName val="Хангамж 2016 мэдээ"/>
    </sheetNames>
    <sheetDataSet>
      <sheetData sheetId="1">
        <row r="28">
          <cell r="D28">
            <v>-110623.73599999998</v>
          </cell>
          <cell r="E28">
            <v>3648113.256</v>
          </cell>
          <cell r="F28">
            <v>667570.0720000002</v>
          </cell>
          <cell r="G28">
            <v>320113.56000000006</v>
          </cell>
          <cell r="H28">
            <v>355625.26399999997</v>
          </cell>
          <cell r="I28">
            <v>1106836.176</v>
          </cell>
          <cell r="J28">
            <v>2158001.64</v>
          </cell>
          <cell r="K28">
            <v>53157</v>
          </cell>
          <cell r="L28">
            <v>483149</v>
          </cell>
          <cell r="M28">
            <v>-1894256.9319199994</v>
          </cell>
          <cell r="N28">
            <v>3584742</v>
          </cell>
          <cell r="O28">
            <v>10372427.300080001</v>
          </cell>
        </row>
        <row r="39">
          <cell r="D39">
            <v>0</v>
          </cell>
          <cell r="E39">
            <v>0</v>
          </cell>
          <cell r="F39">
            <v>3120000</v>
          </cell>
          <cell r="G39">
            <v>3928000</v>
          </cell>
          <cell r="H39">
            <v>6984115</v>
          </cell>
          <cell r="I39">
            <v>1285765</v>
          </cell>
          <cell r="J39">
            <v>842540</v>
          </cell>
          <cell r="K39">
            <v>1046285</v>
          </cell>
          <cell r="L39">
            <v>2899630</v>
          </cell>
          <cell r="M39">
            <v>2929130</v>
          </cell>
          <cell r="N39">
            <v>1414300</v>
          </cell>
          <cell r="O39">
            <v>24449765</v>
          </cell>
        </row>
      </sheetData>
      <sheetData sheetId="13">
        <row r="13">
          <cell r="D13">
            <v>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_ani"/>
      <sheetName val="Dia_art"/>
      <sheetName val="Dia_sou"/>
      <sheetName val="Dia_tan"/>
      <sheetName val="Dia_gra"/>
      <sheetName val="Dia_thi"/>
      <sheetName val="Dia_col"/>
      <sheetName val="Dia_gen"/>
      <sheetName val="Dia_pro"/>
      <sheetName val="Dia_wor"/>
      <sheetName val="Dia_cus"/>
      <sheetName val="Dia_cou"/>
      <sheetName val="Wetheadings"/>
      <sheetName val="Dia_tec"/>
      <sheetName val="Dia_cat"/>
      <sheetName val="Dia_res"/>
      <sheetName val="Dia_sty"/>
      <sheetName val="Macros"/>
      <sheetName val="Module1"/>
      <sheetName val="Module 2"/>
      <sheetName val="TRIAL 1"/>
      <sheetName val="TRIAL 2"/>
      <sheetName val="Sheet4"/>
    </sheetNames>
    <sheetDataSet>
      <sheetData sheetId="12">
        <row r="3">
          <cell r="K3" t="str">
            <v>Dermalix N Paste</v>
          </cell>
        </row>
        <row r="4">
          <cell r="K4" t="str">
            <v>Sandolix FFS</v>
          </cell>
        </row>
        <row r="5">
          <cell r="K5" t="str">
            <v>Sandolix BUP</v>
          </cell>
        </row>
        <row r="6">
          <cell r="K6" t="str">
            <v>Sandolix SEL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C-E"/>
      <sheetName val="PC-I"/>
      <sheetName val="Cash in bank"/>
      <sheetName val="Payble"/>
      <sheetName val="Fixed assets"/>
      <sheetName val="Receivable"/>
      <sheetName val="Material"/>
      <sheetName val="Goods"/>
      <sheetName val="Purchase-2"/>
      <sheetName val="Purchase"/>
      <sheetName val="EJ"/>
      <sheetName val="Salary"/>
      <sheetName val="Expenses"/>
      <sheetName val="AH"/>
      <sheetName val="Nuur-1"/>
      <sheetName val="Nuur"/>
      <sheetName val="CT-1"/>
      <sheetName val="CT-2"/>
      <sheetName val="CT-3"/>
      <sheetName val="CT-4"/>
      <sheetName val="CT-2a"/>
      <sheetName val="D1"/>
      <sheetName val="D2"/>
      <sheetName val="D3"/>
      <sheetName val="D4"/>
      <sheetName val="D5"/>
      <sheetName val="D6"/>
      <sheetName val="D7"/>
      <sheetName val="D8"/>
      <sheetName val="TT-02a"/>
      <sheetName val="ÒÒ-11"/>
      <sheetName val="Sheet1"/>
    </sheetNames>
    <sheetDataSet>
      <sheetData sheetId="18">
        <row r="4">
          <cell r="A4" t="str">
            <v>( Аж ахуйн нэгжийн нэр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uur-Á (2)"/>
      <sheetName val="Nuur-Á"/>
      <sheetName val="ST-1"/>
      <sheetName val="Sheet4"/>
      <sheetName val="Sheet6"/>
      <sheetName val="ct02"/>
      <sheetName val="ct03."/>
      <sheetName val="ӨӨТ"/>
      <sheetName val="Sheet3"/>
      <sheetName val="Sheet2"/>
      <sheetName val="CT-4"/>
      <sheetName val="1-2"/>
      <sheetName val="Sheet1"/>
      <sheetName val="1-4 (2)"/>
      <sheetName val="5-8 (2)"/>
      <sheetName val="9 (2)"/>
      <sheetName val="9.2"/>
      <sheetName val="Sheet5"/>
      <sheetName val="11-13 (2)"/>
      <sheetName val="14-16,5 (2)"/>
      <sheetName val="16,6-19,3 (2)"/>
      <sheetName val="20-22,3 (2)"/>
      <sheetName val="22,4 (2)"/>
      <sheetName val="1-4"/>
      <sheetName val="5-8"/>
      <sheetName val="9"/>
      <sheetName val="11-13"/>
      <sheetName val="14-16,5"/>
      <sheetName val="16,6-19,3"/>
      <sheetName val="20-22,3"/>
      <sheetName val="22,4"/>
    </sheetNames>
    <sheetDataSet>
      <sheetData sheetId="5">
        <row r="33">
          <cell r="H33">
            <v>2327633412.710001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T-01"/>
      <sheetName val="CT-02"/>
      <sheetName val="Sheet6"/>
      <sheetName val="CT-3"/>
      <sheetName val="CT4"/>
      <sheetName val="Бараа мат"/>
      <sheetName val="сибир-2019"/>
      <sheetName val="CT-4"/>
      <sheetName val="нийт авлага өглөг"/>
      <sheetName val="ком хооронд"/>
      <sheetName val="авлага"/>
      <sheetName val="өглөг"/>
      <sheetName val="1-2"/>
      <sheetName val="1-4.1"/>
      <sheetName val="5-8"/>
      <sheetName val="9"/>
      <sheetName val="10-13"/>
      <sheetName val="15-21"/>
      <sheetName val="zassan"/>
      <sheetName val="Sheet1"/>
      <sheetName val="татвар ндш"/>
      <sheetName val="tolson tatvar"/>
      <sheetName val="UTT"/>
      <sheetName val="tsalin"/>
      <sheetName val="үндсэн хөрөнгө"/>
      <sheetName val="Sheet4"/>
      <sheetName val="Sheet2"/>
      <sheetName val="Sheet5"/>
    </sheetNames>
    <sheetDataSet>
      <sheetData sheetId="1">
        <row r="73">
          <cell r="Y73">
            <v>3753574900</v>
          </cell>
        </row>
        <row r="76">
          <cell r="Y76">
            <v>-16428492</v>
          </cell>
        </row>
        <row r="77">
          <cell r="Y77">
            <v>-106648582.98</v>
          </cell>
        </row>
        <row r="78">
          <cell r="Y78">
            <v>19334524603.97</v>
          </cell>
        </row>
        <row r="80">
          <cell r="Y80">
            <v>2348244123.16</v>
          </cell>
        </row>
        <row r="81">
          <cell r="Y81">
            <v>1965833125.78</v>
          </cell>
        </row>
        <row r="82">
          <cell r="Y82">
            <v>4445257.6</v>
          </cell>
          <cell r="Z82">
            <v>-600000</v>
          </cell>
        </row>
        <row r="83">
          <cell r="Y83">
            <v>16754204941.520197</v>
          </cell>
        </row>
        <row r="84">
          <cell r="Y84">
            <v>276067774.48652655</v>
          </cell>
        </row>
        <row r="86">
          <cell r="Y86">
            <v>44313817651.53672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uur-B"/>
      <sheetName val="Nuur-A"/>
      <sheetName val="Sheet2"/>
      <sheetName val="CT-1-9"/>
      <sheetName val="CT-2-9"/>
      <sheetName val="CT-3-9"/>
      <sheetName val="CT-4b"/>
      <sheetName val="CT-4-9"/>
      <sheetName val="D1"/>
      <sheetName val="D2"/>
      <sheetName val="D3"/>
      <sheetName val="D4"/>
      <sheetName val="D5"/>
      <sheetName val="D6"/>
      <sheetName val="D7"/>
      <sheetName val="D8"/>
    </sheetNames>
    <sheetDataSet>
      <sheetData sheetId="4">
        <row r="3">
          <cell r="C3" t="str">
            <v>         "Äàðõàí Íýõèé" ÕÊ</v>
          </cell>
        </row>
        <row r="4">
          <cell r="B4" t="str">
            <v>( Аж ахуйн нэгж, байгууллагын нэр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8">
      <selection activeCell="E10" sqref="E10"/>
    </sheetView>
  </sheetViews>
  <sheetFormatPr defaultColWidth="9.140625" defaultRowHeight="15"/>
  <cols>
    <col min="1" max="1" width="11.421875" style="344" customWidth="1"/>
    <col min="2" max="2" width="9.7109375" style="344" customWidth="1"/>
    <col min="3" max="3" width="29.140625" style="344" bestFit="1" customWidth="1"/>
    <col min="4" max="4" width="19.8515625" style="353" customWidth="1"/>
    <col min="5" max="5" width="22.140625" style="353" customWidth="1"/>
    <col min="6" max="6" width="18.7109375" style="292" hidden="1" customWidth="1"/>
    <col min="7" max="7" width="20.421875" style="293" hidden="1" customWidth="1"/>
    <col min="8" max="9" width="19.8515625" style="293" bestFit="1" customWidth="1"/>
    <col min="10" max="10" width="12.140625" style="293" bestFit="1" customWidth="1"/>
    <col min="11" max="16384" width="11.421875" style="293" customWidth="1"/>
  </cols>
  <sheetData>
    <row r="1" spans="2:5" ht="15">
      <c r="B1" s="345"/>
      <c r="C1" s="345"/>
      <c r="D1" s="345"/>
      <c r="E1" s="345"/>
    </row>
    <row r="2" spans="2:5" ht="15">
      <c r="B2" s="346"/>
      <c r="C2" s="346"/>
      <c r="D2" s="327"/>
      <c r="E2" s="342"/>
    </row>
    <row r="3" spans="2:5" ht="15">
      <c r="B3" s="347" t="s">
        <v>663</v>
      </c>
      <c r="C3" s="348"/>
      <c r="D3" s="348"/>
      <c r="E3" s="348"/>
    </row>
    <row r="4" spans="2:5" ht="15">
      <c r="B4" s="348"/>
      <c r="C4" s="348"/>
      <c r="D4" s="348"/>
      <c r="E4" s="349" t="s">
        <v>664</v>
      </c>
    </row>
    <row r="5" spans="1:6" s="296" customFormat="1" ht="15.75" customHeight="1">
      <c r="A5" s="350"/>
      <c r="B5" s="312" t="s">
        <v>112</v>
      </c>
      <c r="C5" s="312" t="s">
        <v>665</v>
      </c>
      <c r="D5" s="312" t="s">
        <v>827</v>
      </c>
      <c r="E5" s="312" t="s">
        <v>828</v>
      </c>
      <c r="F5" s="295"/>
    </row>
    <row r="6" spans="1:6" s="296" customFormat="1" ht="15">
      <c r="A6" s="350"/>
      <c r="B6" s="315" t="s">
        <v>212</v>
      </c>
      <c r="C6" s="313" t="s">
        <v>666</v>
      </c>
      <c r="D6" s="359">
        <v>0</v>
      </c>
      <c r="E6" s="359">
        <v>0</v>
      </c>
      <c r="F6" s="295"/>
    </row>
    <row r="7" spans="1:6" s="296" customFormat="1" ht="15">
      <c r="A7" s="350"/>
      <c r="B7" s="315" t="s">
        <v>301</v>
      </c>
      <c r="C7" s="313" t="s">
        <v>667</v>
      </c>
      <c r="D7" s="359">
        <v>0</v>
      </c>
      <c r="E7" s="359">
        <v>0</v>
      </c>
      <c r="F7" s="295"/>
    </row>
    <row r="8" spans="1:6" s="296" customFormat="1" ht="15" customHeight="1">
      <c r="A8" s="350"/>
      <c r="B8" s="315" t="s">
        <v>677</v>
      </c>
      <c r="C8" s="315" t="s">
        <v>668</v>
      </c>
      <c r="D8" s="314">
        <v>458005676.86</v>
      </c>
      <c r="E8" s="314">
        <v>481779771.6999998</v>
      </c>
      <c r="F8" s="295"/>
    </row>
    <row r="9" spans="1:7" s="296" customFormat="1" ht="15">
      <c r="A9" s="350"/>
      <c r="B9" s="315" t="s">
        <v>678</v>
      </c>
      <c r="C9" s="315" t="s">
        <v>669</v>
      </c>
      <c r="D9" s="314">
        <v>6254458808.91</v>
      </c>
      <c r="E9" s="314">
        <v>5513178006.938084</v>
      </c>
      <c r="F9" s="295"/>
      <c r="G9" s="297"/>
    </row>
    <row r="10" spans="1:6" s="296" customFormat="1" ht="15">
      <c r="A10" s="350"/>
      <c r="B10" s="315" t="s">
        <v>679</v>
      </c>
      <c r="C10" s="315" t="s">
        <v>670</v>
      </c>
      <c r="D10" s="314">
        <v>192103589.36</v>
      </c>
      <c r="E10" s="314">
        <v>147651776.72</v>
      </c>
      <c r="F10" s="295"/>
    </row>
    <row r="11" spans="1:6" s="296" customFormat="1" ht="15">
      <c r="A11" s="350"/>
      <c r="B11" s="315" t="s">
        <v>680</v>
      </c>
      <c r="C11" s="315" t="s">
        <v>671</v>
      </c>
      <c r="D11" s="314">
        <v>134037841.99</v>
      </c>
      <c r="E11" s="314">
        <v>153763739.99081448</v>
      </c>
      <c r="F11" s="295"/>
    </row>
    <row r="12" spans="1:6" s="296" customFormat="1" ht="15" customHeight="1">
      <c r="A12" s="350"/>
      <c r="B12" s="315" t="s">
        <v>681</v>
      </c>
      <c r="C12" s="315" t="s">
        <v>672</v>
      </c>
      <c r="D12" s="359">
        <v>0</v>
      </c>
      <c r="E12" s="359">
        <v>0</v>
      </c>
      <c r="F12" s="295"/>
    </row>
    <row r="13" spans="1:9" s="296" customFormat="1" ht="15">
      <c r="A13" s="350"/>
      <c r="B13" s="315" t="s">
        <v>682</v>
      </c>
      <c r="C13" s="315" t="s">
        <v>673</v>
      </c>
      <c r="D13" s="314">
        <v>14886578591.400002</v>
      </c>
      <c r="E13" s="314">
        <v>15879981251.2</v>
      </c>
      <c r="F13" s="295"/>
      <c r="H13" s="297"/>
      <c r="I13" s="297"/>
    </row>
    <row r="14" spans="1:8" s="296" customFormat="1" ht="15" customHeight="1">
      <c r="A14" s="350"/>
      <c r="B14" s="315" t="s">
        <v>683</v>
      </c>
      <c r="C14" s="315" t="s">
        <v>674</v>
      </c>
      <c r="D14" s="314">
        <v>310034834.74</v>
      </c>
      <c r="E14" s="316">
        <f>247875363.025509+2081039974.54</f>
        <v>2328915337.565509</v>
      </c>
      <c r="F14" s="295"/>
      <c r="H14" s="297"/>
    </row>
    <row r="15" spans="1:8" s="296" customFormat="1" ht="15">
      <c r="A15" s="350"/>
      <c r="B15" s="315" t="s">
        <v>684</v>
      </c>
      <c r="C15" s="315" t="s">
        <v>675</v>
      </c>
      <c r="D15" s="314">
        <v>641784300</v>
      </c>
      <c r="E15" s="314">
        <v>641784300</v>
      </c>
      <c r="F15" s="295"/>
      <c r="H15" s="297"/>
    </row>
    <row r="16" spans="1:6" s="296" customFormat="1" ht="15" customHeight="1">
      <c r="A16" s="350"/>
      <c r="B16" s="315" t="s">
        <v>685</v>
      </c>
      <c r="C16" s="315" t="s">
        <v>676</v>
      </c>
      <c r="D16" s="314">
        <v>3354133759.05</v>
      </c>
      <c r="E16" s="314">
        <v>2810550160.6299996</v>
      </c>
      <c r="F16" s="295"/>
    </row>
    <row r="17" spans="1:6" s="296" customFormat="1" ht="13.5" customHeight="1">
      <c r="A17" s="350"/>
      <c r="B17" s="317" t="s">
        <v>687</v>
      </c>
      <c r="C17" s="317" t="s">
        <v>686</v>
      </c>
      <c r="D17" s="359">
        <v>0</v>
      </c>
      <c r="E17" s="314">
        <v>8051640.3</v>
      </c>
      <c r="F17" s="295"/>
    </row>
    <row r="18" spans="1:7" s="296" customFormat="1" ht="15" customHeight="1">
      <c r="A18" s="350"/>
      <c r="B18" s="351" t="s">
        <v>688</v>
      </c>
      <c r="C18" s="313" t="s">
        <v>689</v>
      </c>
      <c r="D18" s="318">
        <f>SUM(D8:D17)</f>
        <v>26231137402.31</v>
      </c>
      <c r="E18" s="318">
        <f>SUM(E8:E17)</f>
        <v>27965655985.044407</v>
      </c>
      <c r="F18" s="298">
        <f>SUM(F8:F16)</f>
        <v>0</v>
      </c>
      <c r="G18" s="298">
        <f>SUM(G8:G16)</f>
        <v>0</v>
      </c>
    </row>
    <row r="19" spans="1:6" s="296" customFormat="1" ht="13.5" customHeight="1">
      <c r="A19" s="350"/>
      <c r="B19" s="315">
        <v>1.2</v>
      </c>
      <c r="C19" s="313" t="s">
        <v>690</v>
      </c>
      <c r="D19" s="359">
        <v>0</v>
      </c>
      <c r="E19" s="359">
        <v>0</v>
      </c>
      <c r="F19" s="295"/>
    </row>
    <row r="20" spans="1:6" s="296" customFormat="1" ht="15">
      <c r="A20" s="350"/>
      <c r="B20" s="315" t="s">
        <v>699</v>
      </c>
      <c r="C20" s="315" t="s">
        <v>691</v>
      </c>
      <c r="D20" s="314">
        <v>27968307389.24</v>
      </c>
      <c r="E20" s="314">
        <v>34785322933.442894</v>
      </c>
      <c r="F20" s="295"/>
    </row>
    <row r="21" spans="1:6" s="296" customFormat="1" ht="15">
      <c r="A21" s="350"/>
      <c r="B21" s="315" t="s">
        <v>700</v>
      </c>
      <c r="C21" s="315" t="s">
        <v>692</v>
      </c>
      <c r="D21" s="314">
        <v>45552811.6</v>
      </c>
      <c r="E21" s="314">
        <v>44441811.6</v>
      </c>
      <c r="F21" s="295"/>
    </row>
    <row r="22" spans="1:6" s="296" customFormat="1" ht="15">
      <c r="A22" s="350"/>
      <c r="B22" s="315" t="s">
        <v>701</v>
      </c>
      <c r="C22" s="315" t="s">
        <v>693</v>
      </c>
      <c r="D22" s="359">
        <v>0</v>
      </c>
      <c r="E22" s="359">
        <v>0</v>
      </c>
      <c r="F22" s="295"/>
    </row>
    <row r="23" spans="1:6" s="296" customFormat="1" ht="15" customHeight="1">
      <c r="A23" s="350"/>
      <c r="B23" s="315" t="s">
        <v>702</v>
      </c>
      <c r="C23" s="315" t="s">
        <v>694</v>
      </c>
      <c r="D23" s="314">
        <v>1000000</v>
      </c>
      <c r="E23" s="314">
        <v>1000000</v>
      </c>
      <c r="F23" s="295"/>
    </row>
    <row r="24" spans="1:6" s="296" customFormat="1" ht="15" customHeight="1">
      <c r="A24" s="350"/>
      <c r="B24" s="315" t="s">
        <v>703</v>
      </c>
      <c r="C24" s="315" t="s">
        <v>695</v>
      </c>
      <c r="D24" s="359">
        <v>0</v>
      </c>
      <c r="E24" s="359">
        <v>0</v>
      </c>
      <c r="F24" s="295"/>
    </row>
    <row r="25" spans="1:6" s="296" customFormat="1" ht="15" customHeight="1">
      <c r="A25" s="350"/>
      <c r="B25" s="315" t="s">
        <v>704</v>
      </c>
      <c r="C25" s="319" t="s">
        <v>696</v>
      </c>
      <c r="D25" s="359">
        <v>0</v>
      </c>
      <c r="E25" s="359">
        <v>0</v>
      </c>
      <c r="F25" s="295"/>
    </row>
    <row r="26" spans="1:7" s="296" customFormat="1" ht="15" customHeight="1">
      <c r="A26" s="350"/>
      <c r="B26" s="315" t="s">
        <v>705</v>
      </c>
      <c r="C26" s="315" t="s">
        <v>697</v>
      </c>
      <c r="D26" s="359">
        <v>0</v>
      </c>
      <c r="E26" s="359">
        <v>0</v>
      </c>
      <c r="F26" s="295"/>
      <c r="G26" s="299"/>
    </row>
    <row r="27" spans="1:6" s="296" customFormat="1" ht="15">
      <c r="A27" s="350"/>
      <c r="B27" s="315" t="s">
        <v>706</v>
      </c>
      <c r="C27" s="315" t="s">
        <v>698</v>
      </c>
      <c r="D27" s="359">
        <v>0</v>
      </c>
      <c r="E27" s="359">
        <v>0</v>
      </c>
      <c r="F27" s="295"/>
    </row>
    <row r="28" spans="1:6" s="296" customFormat="1" ht="15">
      <c r="A28" s="350"/>
      <c r="B28" s="317" t="s">
        <v>707</v>
      </c>
      <c r="C28" s="317" t="s">
        <v>7</v>
      </c>
      <c r="D28" s="314">
        <v>9031467954.92</v>
      </c>
      <c r="E28" s="314">
        <f>2426615206.73-2081039974.54</f>
        <v>345575232.19000006</v>
      </c>
      <c r="F28" s="295"/>
    </row>
    <row r="29" spans="1:7" s="296" customFormat="1" ht="15" customHeight="1">
      <c r="A29" s="350"/>
      <c r="B29" s="315" t="s">
        <v>708</v>
      </c>
      <c r="C29" s="313" t="s">
        <v>709</v>
      </c>
      <c r="D29" s="318">
        <v>37046328155.76</v>
      </c>
      <c r="E29" s="318">
        <f>SUM(E19:E28)</f>
        <v>35176339977.232895</v>
      </c>
      <c r="F29" s="298">
        <f>SUM(F19:F28)</f>
        <v>0</v>
      </c>
      <c r="G29" s="298">
        <f>SUM(G19:G28)</f>
        <v>0</v>
      </c>
    </row>
    <row r="30" spans="1:7" s="296" customFormat="1" ht="13.5" customHeight="1">
      <c r="A30" s="350"/>
      <c r="B30" s="315" t="s">
        <v>303</v>
      </c>
      <c r="C30" s="313" t="s">
        <v>710</v>
      </c>
      <c r="D30" s="318">
        <v>63277465558.07001</v>
      </c>
      <c r="E30" s="318">
        <f>E18+E29</f>
        <v>63141995962.2773</v>
      </c>
      <c r="F30" s="300">
        <f>F18+F29</f>
        <v>0</v>
      </c>
      <c r="G30" s="300">
        <f>G18+G29</f>
        <v>0</v>
      </c>
    </row>
    <row r="31" spans="1:7" s="296" customFormat="1" ht="13.5" customHeight="1">
      <c r="A31" s="350"/>
      <c r="B31" s="315" t="s">
        <v>213</v>
      </c>
      <c r="C31" s="313" t="s">
        <v>711</v>
      </c>
      <c r="D31" s="359">
        <v>0</v>
      </c>
      <c r="E31" s="359">
        <v>0</v>
      </c>
      <c r="F31" s="295"/>
      <c r="G31" s="297"/>
    </row>
    <row r="32" spans="1:6" s="296" customFormat="1" ht="13.5" customHeight="1">
      <c r="A32" s="350"/>
      <c r="B32" s="315" t="s">
        <v>305</v>
      </c>
      <c r="C32" s="313" t="s">
        <v>712</v>
      </c>
      <c r="D32" s="359">
        <v>0</v>
      </c>
      <c r="E32" s="359">
        <v>0</v>
      </c>
      <c r="F32" s="295"/>
    </row>
    <row r="33" spans="1:9" s="296" customFormat="1" ht="15" customHeight="1">
      <c r="A33" s="350"/>
      <c r="B33" s="315" t="s">
        <v>724</v>
      </c>
      <c r="C33" s="313" t="s">
        <v>713</v>
      </c>
      <c r="D33" s="359">
        <v>0</v>
      </c>
      <c r="E33" s="359">
        <v>0</v>
      </c>
      <c r="F33" s="301"/>
      <c r="G33" s="302"/>
      <c r="H33" s="302"/>
      <c r="I33" s="302"/>
    </row>
    <row r="34" spans="1:9" s="296" customFormat="1" ht="15">
      <c r="A34" s="350"/>
      <c r="B34" s="315" t="s">
        <v>725</v>
      </c>
      <c r="C34" s="315" t="s">
        <v>714</v>
      </c>
      <c r="D34" s="314">
        <v>1311720469.38</v>
      </c>
      <c r="E34" s="314">
        <f>1663083024.15921-0.37</f>
        <v>1663083023.78921</v>
      </c>
      <c r="F34" s="301"/>
      <c r="G34" s="302"/>
      <c r="H34" s="302"/>
      <c r="I34" s="302"/>
    </row>
    <row r="35" spans="1:9" s="296" customFormat="1" ht="15">
      <c r="A35" s="350"/>
      <c r="B35" s="315" t="s">
        <v>726</v>
      </c>
      <c r="C35" s="315" t="s">
        <v>715</v>
      </c>
      <c r="D35" s="314">
        <v>145350526.66</v>
      </c>
      <c r="E35" s="314">
        <v>261503509.9018</v>
      </c>
      <c r="F35" s="301"/>
      <c r="G35" s="302"/>
      <c r="H35" s="302"/>
      <c r="I35" s="302"/>
    </row>
    <row r="36" spans="1:9" s="296" customFormat="1" ht="15">
      <c r="A36" s="350"/>
      <c r="B36" s="315" t="s">
        <v>727</v>
      </c>
      <c r="C36" s="315" t="s">
        <v>716</v>
      </c>
      <c r="D36" s="314">
        <v>2028053850.22</v>
      </c>
      <c r="E36" s="314">
        <v>2206890806.3294086</v>
      </c>
      <c r="F36" s="301"/>
      <c r="G36" s="302"/>
      <c r="H36" s="302"/>
      <c r="I36" s="302"/>
    </row>
    <row r="37" spans="1:9" s="296" customFormat="1" ht="15">
      <c r="A37" s="350"/>
      <c r="B37" s="315" t="s">
        <v>728</v>
      </c>
      <c r="C37" s="315" t="s">
        <v>717</v>
      </c>
      <c r="D37" s="314">
        <v>434025904.09</v>
      </c>
      <c r="E37" s="314">
        <v>441506296.7776278</v>
      </c>
      <c r="F37" s="301"/>
      <c r="G37" s="302"/>
      <c r="H37" s="302"/>
      <c r="I37" s="302"/>
    </row>
    <row r="38" spans="1:9" s="296" customFormat="1" ht="15">
      <c r="A38" s="350"/>
      <c r="B38" s="315" t="s">
        <v>729</v>
      </c>
      <c r="C38" s="315" t="s">
        <v>718</v>
      </c>
      <c r="D38" s="316">
        <v>1199040800</v>
      </c>
      <c r="E38" s="316">
        <v>1270602877.8</v>
      </c>
      <c r="F38" s="301"/>
      <c r="G38" s="302"/>
      <c r="H38" s="302"/>
      <c r="I38" s="302"/>
    </row>
    <row r="39" spans="1:9" s="296" customFormat="1" ht="15">
      <c r="A39" s="350"/>
      <c r="B39" s="315" t="s">
        <v>730</v>
      </c>
      <c r="C39" s="315" t="s">
        <v>719</v>
      </c>
      <c r="D39" s="359">
        <v>0</v>
      </c>
      <c r="E39" s="359">
        <v>0</v>
      </c>
      <c r="F39" s="301"/>
      <c r="G39" s="302"/>
      <c r="H39" s="302"/>
      <c r="I39" s="302"/>
    </row>
    <row r="40" spans="1:9" s="296" customFormat="1" ht="15">
      <c r="A40" s="350"/>
      <c r="B40" s="315" t="s">
        <v>731</v>
      </c>
      <c r="C40" s="315" t="s">
        <v>720</v>
      </c>
      <c r="D40" s="359">
        <v>0</v>
      </c>
      <c r="E40" s="359">
        <v>0</v>
      </c>
      <c r="F40" s="301"/>
      <c r="G40" s="302"/>
      <c r="H40" s="302"/>
      <c r="I40" s="302"/>
    </row>
    <row r="41" spans="1:9" s="296" customFormat="1" ht="15">
      <c r="A41" s="350"/>
      <c r="B41" s="315" t="s">
        <v>732</v>
      </c>
      <c r="C41" s="315" t="s">
        <v>721</v>
      </c>
      <c r="D41" s="314">
        <v>3793916122.8</v>
      </c>
      <c r="E41" s="314">
        <v>3177177938.33</v>
      </c>
      <c r="F41" s="301"/>
      <c r="G41" s="302"/>
      <c r="H41" s="302"/>
      <c r="I41" s="302"/>
    </row>
    <row r="42" spans="1:6" s="302" customFormat="1" ht="15">
      <c r="A42" s="350"/>
      <c r="B42" s="315" t="s">
        <v>733</v>
      </c>
      <c r="C42" s="319" t="s">
        <v>722</v>
      </c>
      <c r="D42" s="359">
        <v>0</v>
      </c>
      <c r="E42" s="359">
        <v>0</v>
      </c>
      <c r="F42" s="301"/>
    </row>
    <row r="43" spans="1:9" s="296" customFormat="1" ht="15" customHeight="1">
      <c r="A43" s="350"/>
      <c r="B43" s="315" t="s">
        <v>734</v>
      </c>
      <c r="C43" s="315" t="s">
        <v>723</v>
      </c>
      <c r="D43" s="314">
        <v>31959302.47</v>
      </c>
      <c r="E43" s="314">
        <v>30194197.44</v>
      </c>
      <c r="F43" s="301"/>
      <c r="G43" s="302"/>
      <c r="H43" s="302"/>
      <c r="I43" s="302"/>
    </row>
    <row r="44" spans="1:9" s="296" customFormat="1" ht="15">
      <c r="A44" s="350"/>
      <c r="B44" s="317" t="s">
        <v>735</v>
      </c>
      <c r="C44" s="317"/>
      <c r="D44" s="359">
        <v>0</v>
      </c>
      <c r="E44" s="359">
        <v>0</v>
      </c>
      <c r="F44" s="301"/>
      <c r="G44" s="302"/>
      <c r="H44" s="302"/>
      <c r="I44" s="302"/>
    </row>
    <row r="45" spans="1:9" s="296" customFormat="1" ht="17.25" customHeight="1">
      <c r="A45" s="350"/>
      <c r="B45" s="315" t="s">
        <v>736</v>
      </c>
      <c r="C45" s="313" t="s">
        <v>737</v>
      </c>
      <c r="D45" s="318">
        <v>8944066975.62</v>
      </c>
      <c r="E45" s="318">
        <f>SUM(E34:E44)</f>
        <v>9050958650.368048</v>
      </c>
      <c r="F45" s="303">
        <f>SUM(F34:F44)</f>
        <v>0</v>
      </c>
      <c r="G45" s="303">
        <f>SUM(G34:G44)</f>
        <v>0</v>
      </c>
      <c r="H45" s="302"/>
      <c r="I45" s="302"/>
    </row>
    <row r="46" spans="1:6" s="296" customFormat="1" ht="15">
      <c r="A46" s="350"/>
      <c r="B46" s="315" t="s">
        <v>744</v>
      </c>
      <c r="C46" s="313" t="s">
        <v>738</v>
      </c>
      <c r="D46" s="359">
        <v>0</v>
      </c>
      <c r="E46" s="359">
        <v>0</v>
      </c>
      <c r="F46" s="295"/>
    </row>
    <row r="47" spans="1:6" s="296" customFormat="1" ht="15">
      <c r="A47" s="350"/>
      <c r="B47" s="315" t="s">
        <v>745</v>
      </c>
      <c r="C47" s="315" t="s">
        <v>739</v>
      </c>
      <c r="D47" s="314">
        <v>10295048705.4</v>
      </c>
      <c r="E47" s="314">
        <v>9777219660.3668</v>
      </c>
      <c r="F47" s="295"/>
    </row>
    <row r="48" spans="1:6" s="302" customFormat="1" ht="15">
      <c r="A48" s="350"/>
      <c r="B48" s="315" t="s">
        <v>746</v>
      </c>
      <c r="C48" s="315" t="s">
        <v>722</v>
      </c>
      <c r="D48" s="359">
        <v>0</v>
      </c>
      <c r="E48" s="359">
        <v>0</v>
      </c>
      <c r="F48" s="301"/>
    </row>
    <row r="49" spans="1:6" s="296" customFormat="1" ht="15">
      <c r="A49" s="350"/>
      <c r="B49" s="315" t="s">
        <v>747</v>
      </c>
      <c r="C49" s="315" t="s">
        <v>740</v>
      </c>
      <c r="D49" s="359">
        <v>0</v>
      </c>
      <c r="E49" s="359">
        <v>0</v>
      </c>
      <c r="F49" s="295"/>
    </row>
    <row r="50" spans="1:6" s="296" customFormat="1" ht="15">
      <c r="A50" s="350"/>
      <c r="B50" s="315" t="s">
        <v>748</v>
      </c>
      <c r="C50" s="315" t="s">
        <v>723</v>
      </c>
      <c r="D50" s="359">
        <v>0</v>
      </c>
      <c r="E50" s="359">
        <v>0</v>
      </c>
      <c r="F50" s="295"/>
    </row>
    <row r="51" spans="1:6" s="296" customFormat="1" ht="15">
      <c r="A51" s="350"/>
      <c r="B51" s="315" t="s">
        <v>749</v>
      </c>
      <c r="C51" s="315"/>
      <c r="D51" s="359">
        <v>0</v>
      </c>
      <c r="E51" s="359">
        <v>0</v>
      </c>
      <c r="F51" s="295"/>
    </row>
    <row r="52" spans="1:7" s="296" customFormat="1" ht="15">
      <c r="A52" s="350"/>
      <c r="B52" s="315" t="s">
        <v>750</v>
      </c>
      <c r="C52" s="313" t="s">
        <v>741</v>
      </c>
      <c r="D52" s="318">
        <v>10295048705.4</v>
      </c>
      <c r="E52" s="318">
        <f>SUM(E47:E51)</f>
        <v>9777219660.3668</v>
      </c>
      <c r="F52" s="298">
        <f>SUM(F47:F51)</f>
        <v>0</v>
      </c>
      <c r="G52" s="298">
        <f>SUM(G47:G51)</f>
        <v>0</v>
      </c>
    </row>
    <row r="53" spans="1:7" s="296" customFormat="1" ht="13.5" customHeight="1">
      <c r="A53" s="350"/>
      <c r="B53" s="315" t="s">
        <v>253</v>
      </c>
      <c r="C53" s="313" t="s">
        <v>742</v>
      </c>
      <c r="D53" s="318">
        <v>19239115681.02</v>
      </c>
      <c r="E53" s="318">
        <f>E45+E52</f>
        <v>18828178310.734848</v>
      </c>
      <c r="F53" s="298">
        <f>F45+F52</f>
        <v>0</v>
      </c>
      <c r="G53" s="298">
        <f>G45+G52</f>
        <v>0</v>
      </c>
    </row>
    <row r="54" spans="1:6" s="296" customFormat="1" ht="13.5" customHeight="1">
      <c r="A54" s="350"/>
      <c r="B54" s="315" t="s">
        <v>209</v>
      </c>
      <c r="C54" s="313" t="s">
        <v>743</v>
      </c>
      <c r="D54" s="359">
        <v>0</v>
      </c>
      <c r="E54" s="359">
        <v>0</v>
      </c>
      <c r="F54" s="295"/>
    </row>
    <row r="55" spans="1:6" s="296" customFormat="1" ht="15">
      <c r="A55" s="350"/>
      <c r="B55" s="315" t="s">
        <v>764</v>
      </c>
      <c r="C55" s="315" t="s">
        <v>759</v>
      </c>
      <c r="D55" s="359">
        <v>0</v>
      </c>
      <c r="E55" s="359">
        <v>0</v>
      </c>
      <c r="F55" s="295"/>
    </row>
    <row r="56" spans="1:8" s="296" customFormat="1" ht="15">
      <c r="A56" s="350"/>
      <c r="B56" s="315" t="s">
        <v>765</v>
      </c>
      <c r="C56" s="315" t="s">
        <v>751</v>
      </c>
      <c r="D56" s="314">
        <v>3753574900</v>
      </c>
      <c r="E56" s="314">
        <v>3753574900</v>
      </c>
      <c r="F56" s="295"/>
      <c r="H56" s="297"/>
    </row>
    <row r="57" spans="1:8" s="296" customFormat="1" ht="15">
      <c r="A57" s="350"/>
      <c r="B57" s="315" t="s">
        <v>766</v>
      </c>
      <c r="C57" s="315" t="s">
        <v>752</v>
      </c>
      <c r="D57" s="359">
        <v>0</v>
      </c>
      <c r="E57" s="359">
        <v>0</v>
      </c>
      <c r="F57" s="295"/>
      <c r="H57" s="297"/>
    </row>
    <row r="58" spans="1:8" s="296" customFormat="1" ht="15">
      <c r="A58" s="350"/>
      <c r="B58" s="315" t="s">
        <v>767</v>
      </c>
      <c r="C58" s="315" t="s">
        <v>753</v>
      </c>
      <c r="D58" s="314">
        <v>-16428492</v>
      </c>
      <c r="E58" s="314">
        <v>-16428492</v>
      </c>
      <c r="F58" s="295"/>
      <c r="H58" s="297"/>
    </row>
    <row r="59" spans="1:8" s="296" customFormat="1" ht="15">
      <c r="A59" s="350"/>
      <c r="B59" s="315" t="s">
        <v>768</v>
      </c>
      <c r="C59" s="315" t="s">
        <v>754</v>
      </c>
      <c r="D59" s="314">
        <v>-106648583</v>
      </c>
      <c r="E59" s="314">
        <v>-106648583</v>
      </c>
      <c r="F59" s="295"/>
      <c r="H59" s="297"/>
    </row>
    <row r="60" spans="1:8" s="296" customFormat="1" ht="15" customHeight="1">
      <c r="A60" s="350"/>
      <c r="B60" s="315" t="s">
        <v>769</v>
      </c>
      <c r="C60" s="315" t="s">
        <v>755</v>
      </c>
      <c r="D60" s="314">
        <v>19334524604</v>
      </c>
      <c r="E60" s="314">
        <v>19334524604</v>
      </c>
      <c r="F60" s="295"/>
      <c r="G60" s="304"/>
      <c r="H60" s="297"/>
    </row>
    <row r="61" spans="1:8" s="296" customFormat="1" ht="15" customHeight="1">
      <c r="A61" s="350"/>
      <c r="B61" s="315" t="s">
        <v>770</v>
      </c>
      <c r="C61" s="315" t="s">
        <v>756</v>
      </c>
      <c r="D61" s="359">
        <v>0</v>
      </c>
      <c r="E61" s="359">
        <v>0</v>
      </c>
      <c r="F61" s="295"/>
      <c r="H61" s="297"/>
    </row>
    <row r="62" spans="1:8" s="296" customFormat="1" ht="15" customHeight="1">
      <c r="A62" s="350"/>
      <c r="B62" s="315" t="s">
        <v>771</v>
      </c>
      <c r="C62" s="315" t="s">
        <v>757</v>
      </c>
      <c r="D62" s="314">
        <v>4319122506.53</v>
      </c>
      <c r="E62" s="314">
        <v>4318522506.54</v>
      </c>
      <c r="F62" s="295"/>
      <c r="G62" s="297"/>
      <c r="H62" s="297"/>
    </row>
    <row r="63" spans="1:10" s="296" customFormat="1" ht="15">
      <c r="A63" s="350"/>
      <c r="B63" s="315" t="s">
        <v>772</v>
      </c>
      <c r="C63" s="315" t="s">
        <v>758</v>
      </c>
      <c r="D63" s="314">
        <v>13075920620.16</v>
      </c>
      <c r="E63" s="314">
        <v>13075920620.16</v>
      </c>
      <c r="F63" s="295">
        <f>+'income statement'!E27</f>
        <v>276067774.48463476</v>
      </c>
      <c r="G63" s="297">
        <f>+E63-F63</f>
        <v>12799852845.675365</v>
      </c>
      <c r="H63" s="297"/>
      <c r="I63" s="297"/>
      <c r="J63" s="294"/>
    </row>
    <row r="64" spans="1:8" s="296" customFormat="1" ht="15">
      <c r="A64" s="350"/>
      <c r="B64" s="317" t="s">
        <v>773</v>
      </c>
      <c r="C64" s="317"/>
      <c r="D64" s="359">
        <v>0</v>
      </c>
      <c r="E64" s="359">
        <v>0</v>
      </c>
      <c r="F64" s="295"/>
      <c r="G64" s="297"/>
      <c r="H64" s="297"/>
    </row>
    <row r="65" spans="1:8" s="296" customFormat="1" ht="15">
      <c r="A65" s="350"/>
      <c r="B65" s="317" t="s">
        <v>774</v>
      </c>
      <c r="C65" s="317" t="s">
        <v>763</v>
      </c>
      <c r="D65" s="359">
        <v>0</v>
      </c>
      <c r="E65" s="359">
        <v>0</v>
      </c>
      <c r="F65" s="295"/>
      <c r="G65" s="297"/>
      <c r="H65" s="297"/>
    </row>
    <row r="66" spans="1:9" s="296" customFormat="1" ht="15" customHeight="1">
      <c r="A66" s="350"/>
      <c r="B66" s="317" t="s">
        <v>775</v>
      </c>
      <c r="C66" s="317" t="s">
        <v>762</v>
      </c>
      <c r="D66" s="314">
        <v>3678284321.360001</v>
      </c>
      <c r="E66" s="314">
        <v>3954352095.846724</v>
      </c>
      <c r="F66" s="295"/>
      <c r="G66" s="297"/>
      <c r="H66" s="297"/>
      <c r="I66" s="294"/>
    </row>
    <row r="67" spans="1:9" s="296" customFormat="1" ht="15">
      <c r="A67" s="350"/>
      <c r="B67" s="317" t="s">
        <v>776</v>
      </c>
      <c r="C67" s="313" t="s">
        <v>760</v>
      </c>
      <c r="D67" s="318">
        <v>44038349877.05</v>
      </c>
      <c r="E67" s="320">
        <f>SUM(E55:E66)</f>
        <v>44313817651.54672</v>
      </c>
      <c r="F67" s="298">
        <f>SUM(F55:F63)</f>
        <v>276067774.48463476</v>
      </c>
      <c r="G67" s="298">
        <f>SUM(G55:G63)</f>
        <v>12799852845.675365</v>
      </c>
      <c r="H67" s="297"/>
      <c r="I67" s="294"/>
    </row>
    <row r="68" spans="1:8" s="296" customFormat="1" ht="15">
      <c r="A68" s="350"/>
      <c r="B68" s="351">
        <v>2.4</v>
      </c>
      <c r="C68" s="313" t="s">
        <v>761</v>
      </c>
      <c r="D68" s="318">
        <v>63277465558.07001</v>
      </c>
      <c r="E68" s="318">
        <f>E53+E67</f>
        <v>63141995962.28157</v>
      </c>
      <c r="F68" s="300">
        <f>F53+F67</f>
        <v>276067774.48463476</v>
      </c>
      <c r="G68" s="300">
        <f>G53+G67</f>
        <v>12799852845.675365</v>
      </c>
      <c r="H68" s="297"/>
    </row>
    <row r="69" spans="1:7" s="305" customFormat="1" ht="15">
      <c r="A69" s="344"/>
      <c r="B69" s="344"/>
      <c r="C69" s="344"/>
      <c r="D69" s="352">
        <f>+D68-D30</f>
        <v>0</v>
      </c>
      <c r="E69" s="335"/>
      <c r="F69" s="306"/>
      <c r="G69" s="307"/>
    </row>
    <row r="70" spans="1:7" s="305" customFormat="1" ht="15">
      <c r="A70" s="344"/>
      <c r="B70" s="344"/>
      <c r="C70" s="344"/>
      <c r="D70" s="353"/>
      <c r="E70" s="335"/>
      <c r="F70" s="306"/>
      <c r="G70" s="307"/>
    </row>
    <row r="71" spans="1:7" s="305" customFormat="1" ht="15">
      <c r="A71" s="344"/>
      <c r="B71" s="344"/>
      <c r="C71" s="344"/>
      <c r="D71" s="354"/>
      <c r="E71" s="335"/>
      <c r="F71" s="303">
        <f>+F68-F30</f>
        <v>276067774.48463476</v>
      </c>
      <c r="G71" s="303">
        <f>+G68-G30</f>
        <v>12799852845.675365</v>
      </c>
    </row>
    <row r="72" spans="5:9" ht="12" customHeight="1">
      <c r="E72" s="352"/>
      <c r="F72" s="308"/>
      <c r="G72" s="309"/>
      <c r="H72" s="309"/>
      <c r="I72" s="309"/>
    </row>
    <row r="73" spans="5:9" ht="12" customHeight="1">
      <c r="E73" s="352"/>
      <c r="F73" s="308"/>
      <c r="G73" s="309"/>
      <c r="H73" s="309"/>
      <c r="I73" s="309"/>
    </row>
    <row r="74" spans="4:5" ht="14.25" customHeight="1">
      <c r="D74" s="344"/>
      <c r="E74" s="355"/>
    </row>
    <row r="75" ht="14.25" customHeight="1">
      <c r="E75" s="355"/>
    </row>
    <row r="76" ht="14.25" customHeight="1"/>
    <row r="77" ht="14.25" customHeight="1"/>
    <row r="78" ht="14.25" customHeight="1"/>
    <row r="79" ht="15" customHeight="1"/>
  </sheetData>
  <sheetProtection/>
  <printOptions/>
  <pageMargins left="0.78740157480315" right="0" top="0.196850393700787" bottom="0.15748031496063" header="0.15748031496063" footer="0.15748031496063"/>
  <pageSetup horizontalDpi="600" verticalDpi="6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1">
      <selection activeCell="F7" sqref="F7:G7"/>
    </sheetView>
  </sheetViews>
  <sheetFormatPr defaultColWidth="9.140625" defaultRowHeight="15"/>
  <cols>
    <col min="1" max="1" width="4.8515625" style="163" customWidth="1"/>
    <col min="2" max="3" width="11.421875" style="163" customWidth="1"/>
    <col min="4" max="4" width="21.421875" style="163" customWidth="1"/>
    <col min="5" max="8" width="11.421875" style="163" customWidth="1"/>
    <col min="9" max="9" width="6.28125" style="163" customWidth="1"/>
    <col min="10" max="16384" width="11.421875" style="163" customWidth="1"/>
  </cols>
  <sheetData>
    <row r="2" ht="15">
      <c r="C2" s="164" t="s">
        <v>590</v>
      </c>
    </row>
    <row r="3" ht="15">
      <c r="B3" s="164" t="s">
        <v>591</v>
      </c>
    </row>
    <row r="4" ht="15">
      <c r="B4" s="165"/>
    </row>
    <row r="5" spans="2:11" ht="15">
      <c r="B5" s="166"/>
      <c r="I5" s="417" t="s">
        <v>592</v>
      </c>
      <c r="J5" s="417"/>
      <c r="K5" s="417"/>
    </row>
    <row r="6" ht="15">
      <c r="B6" s="167" t="s">
        <v>0</v>
      </c>
    </row>
    <row r="7" ht="15">
      <c r="B7" s="167" t="s">
        <v>593</v>
      </c>
    </row>
    <row r="8" ht="15">
      <c r="B8" s="168"/>
    </row>
    <row r="9" spans="2:3" ht="15">
      <c r="B9" s="168" t="s">
        <v>594</v>
      </c>
      <c r="C9" s="168" t="s">
        <v>595</v>
      </c>
    </row>
    <row r="10" spans="2:3" ht="15">
      <c r="B10" s="168" t="s">
        <v>596</v>
      </c>
      <c r="C10" s="168" t="s">
        <v>597</v>
      </c>
    </row>
    <row r="11" ht="15">
      <c r="B11" s="168"/>
    </row>
    <row r="12" ht="15">
      <c r="B12" s="167" t="s">
        <v>599</v>
      </c>
    </row>
    <row r="13" ht="15">
      <c r="B13" s="168"/>
    </row>
    <row r="14" spans="2:6" ht="15">
      <c r="B14" s="168" t="s">
        <v>594</v>
      </c>
      <c r="C14" s="168" t="s">
        <v>615</v>
      </c>
      <c r="E14" s="168" t="s">
        <v>601</v>
      </c>
      <c r="F14" s="163" t="s">
        <v>616</v>
      </c>
    </row>
    <row r="15" spans="2:3" ht="15">
      <c r="B15" s="168" t="s">
        <v>598</v>
      </c>
      <c r="C15" s="168" t="s">
        <v>600</v>
      </c>
    </row>
    <row r="16" ht="15">
      <c r="B16" s="167" t="s">
        <v>602</v>
      </c>
    </row>
    <row r="17" ht="15">
      <c r="B17" s="168"/>
    </row>
    <row r="18" spans="2:3" ht="15">
      <c r="B18" s="168" t="s">
        <v>594</v>
      </c>
      <c r="C18" s="168" t="s">
        <v>603</v>
      </c>
    </row>
    <row r="19" spans="2:3" ht="15">
      <c r="B19" s="168" t="s">
        <v>596</v>
      </c>
      <c r="C19" s="168" t="s">
        <v>603</v>
      </c>
    </row>
    <row r="20" spans="2:3" ht="15">
      <c r="B20" s="168" t="s">
        <v>598</v>
      </c>
      <c r="C20" s="168" t="s">
        <v>603</v>
      </c>
    </row>
    <row r="21" ht="15">
      <c r="B21" s="167"/>
    </row>
    <row r="22" ht="15">
      <c r="B22" s="167" t="s">
        <v>633</v>
      </c>
    </row>
    <row r="23" spans="2:11" ht="15">
      <c r="B23" s="267" t="s">
        <v>112</v>
      </c>
      <c r="C23" s="416" t="s">
        <v>634</v>
      </c>
      <c r="D23" s="416"/>
      <c r="E23" s="416" t="s">
        <v>635</v>
      </c>
      <c r="F23" s="416"/>
      <c r="G23" s="416" t="s">
        <v>636</v>
      </c>
      <c r="H23" s="416"/>
      <c r="I23" s="416" t="s">
        <v>637</v>
      </c>
      <c r="J23" s="416"/>
      <c r="K23" s="416"/>
    </row>
    <row r="24" spans="2:11" ht="15">
      <c r="B24" s="267">
        <v>1</v>
      </c>
      <c r="C24" s="416">
        <v>4280288</v>
      </c>
      <c r="D24" s="416"/>
      <c r="E24" s="416" t="s">
        <v>638</v>
      </c>
      <c r="F24" s="416"/>
      <c r="G24" s="416">
        <v>100</v>
      </c>
      <c r="H24" s="416"/>
      <c r="I24" s="416"/>
      <c r="J24" s="416"/>
      <c r="K24" s="416"/>
    </row>
    <row r="25" spans="2:11" ht="15">
      <c r="B25" s="267">
        <v>2</v>
      </c>
      <c r="C25" s="416">
        <v>4280296</v>
      </c>
      <c r="D25" s="416"/>
      <c r="E25" s="416" t="s">
        <v>639</v>
      </c>
      <c r="F25" s="416"/>
      <c r="G25" s="416">
        <v>100</v>
      </c>
      <c r="H25" s="416"/>
      <c r="I25" s="416"/>
      <c r="J25" s="416"/>
      <c r="K25" s="416"/>
    </row>
    <row r="26" spans="2:11" ht="15">
      <c r="B26" s="267">
        <v>3</v>
      </c>
      <c r="C26" s="416">
        <v>4271734</v>
      </c>
      <c r="D26" s="416"/>
      <c r="E26" s="416" t="s">
        <v>640</v>
      </c>
      <c r="F26" s="416"/>
      <c r="G26" s="416">
        <v>100</v>
      </c>
      <c r="H26" s="416"/>
      <c r="I26" s="416"/>
      <c r="J26" s="416"/>
      <c r="K26" s="416"/>
    </row>
    <row r="27" spans="2:11" ht="15">
      <c r="B27" s="267">
        <v>4</v>
      </c>
      <c r="C27" s="416">
        <v>4270827</v>
      </c>
      <c r="D27" s="416"/>
      <c r="E27" s="416" t="s">
        <v>641</v>
      </c>
      <c r="F27" s="416"/>
      <c r="G27" s="416">
        <v>100</v>
      </c>
      <c r="H27" s="416"/>
      <c r="I27" s="416"/>
      <c r="J27" s="416"/>
      <c r="K27" s="416"/>
    </row>
    <row r="28" spans="2:11" ht="15">
      <c r="B28" s="267">
        <v>5</v>
      </c>
      <c r="C28" s="416">
        <v>4271408</v>
      </c>
      <c r="D28" s="416"/>
      <c r="E28" s="416" t="s">
        <v>642</v>
      </c>
      <c r="F28" s="416"/>
      <c r="G28" s="416">
        <v>101</v>
      </c>
      <c r="H28" s="416"/>
      <c r="I28" s="416"/>
      <c r="J28" s="416"/>
      <c r="K28" s="416"/>
    </row>
    <row r="29" spans="2:11" ht="15">
      <c r="B29" s="267">
        <v>6</v>
      </c>
      <c r="C29" s="416">
        <v>4253183</v>
      </c>
      <c r="D29" s="416"/>
      <c r="E29" s="416" t="s">
        <v>643</v>
      </c>
      <c r="F29" s="416"/>
      <c r="G29" s="416">
        <v>102</v>
      </c>
      <c r="H29" s="416"/>
      <c r="I29" s="416"/>
      <c r="J29" s="416"/>
      <c r="K29" s="416"/>
    </row>
    <row r="30" spans="2:11" ht="15">
      <c r="B30" s="267">
        <v>7</v>
      </c>
      <c r="C30" s="416">
        <v>4252691</v>
      </c>
      <c r="D30" s="416"/>
      <c r="E30" s="416" t="s">
        <v>644</v>
      </c>
      <c r="F30" s="416"/>
      <c r="G30" s="416">
        <v>103</v>
      </c>
      <c r="H30" s="416"/>
      <c r="I30" s="416"/>
      <c r="J30" s="416"/>
      <c r="K30" s="416"/>
    </row>
    <row r="31" ht="15">
      <c r="B31" s="167"/>
    </row>
    <row r="32" spans="2:11" ht="21.75" customHeight="1">
      <c r="B32" s="418" t="s">
        <v>604</v>
      </c>
      <c r="C32" s="419"/>
      <c r="D32" s="419"/>
      <c r="E32" s="419"/>
      <c r="F32" s="419"/>
      <c r="G32" s="419"/>
      <c r="H32" s="419"/>
      <c r="I32" s="419"/>
      <c r="J32" s="419"/>
      <c r="K32" s="419"/>
    </row>
    <row r="33" ht="15">
      <c r="B33" s="166"/>
    </row>
    <row r="34" spans="2:11" ht="15">
      <c r="B34" s="417" t="s">
        <v>605</v>
      </c>
      <c r="C34" s="417"/>
      <c r="D34" s="417"/>
      <c r="E34" s="417"/>
      <c r="F34" s="417"/>
      <c r="G34" s="417"/>
      <c r="H34" s="417"/>
      <c r="I34" s="417"/>
      <c r="J34" s="417"/>
      <c r="K34" s="417"/>
    </row>
    <row r="35" ht="15">
      <c r="B35" s="166"/>
    </row>
    <row r="36" spans="2:11" ht="20.25" customHeight="1">
      <c r="B36" s="418" t="s">
        <v>606</v>
      </c>
      <c r="C36" s="419"/>
      <c r="D36" s="419"/>
      <c r="E36" s="419"/>
      <c r="F36" s="419"/>
      <c r="G36" s="419"/>
      <c r="H36" s="419"/>
      <c r="I36" s="419"/>
      <c r="J36" s="419"/>
      <c r="K36" s="419"/>
    </row>
    <row r="37" ht="15">
      <c r="B37" s="169"/>
    </row>
    <row r="38" spans="2:3" ht="15">
      <c r="B38" s="170" t="s">
        <v>607</v>
      </c>
      <c r="C38" s="171"/>
    </row>
    <row r="39" spans="2:3" ht="15">
      <c r="B39" s="170"/>
      <c r="C39" s="171"/>
    </row>
    <row r="40" spans="2:3" ht="15">
      <c r="B40" s="170" t="s">
        <v>608</v>
      </c>
      <c r="C40" s="171"/>
    </row>
    <row r="41" spans="2:3" ht="15">
      <c r="B41" s="170"/>
      <c r="C41" s="171"/>
    </row>
    <row r="42" spans="2:3" ht="15">
      <c r="B42" s="170" t="s">
        <v>609</v>
      </c>
      <c r="C42" s="171"/>
    </row>
    <row r="43" spans="2:3" ht="15">
      <c r="B43" s="170"/>
      <c r="C43" s="171"/>
    </row>
    <row r="44" spans="2:3" ht="15">
      <c r="B44" s="170" t="s">
        <v>610</v>
      </c>
      <c r="C44" s="171"/>
    </row>
    <row r="45" spans="2:3" ht="15">
      <c r="B45" s="170" t="s">
        <v>611</v>
      </c>
      <c r="C45" s="171"/>
    </row>
    <row r="46" spans="2:3" ht="15">
      <c r="B46" s="170"/>
      <c r="C46" s="171"/>
    </row>
    <row r="47" spans="2:3" ht="15">
      <c r="B47" s="170" t="s">
        <v>612</v>
      </c>
      <c r="C47" s="171"/>
    </row>
    <row r="48" spans="2:3" ht="15">
      <c r="B48" s="170"/>
      <c r="C48" s="171"/>
    </row>
    <row r="49" spans="2:3" ht="15">
      <c r="B49" s="170" t="s">
        <v>613</v>
      </c>
      <c r="C49" s="171"/>
    </row>
    <row r="50" spans="2:3" ht="15">
      <c r="B50" s="170"/>
      <c r="C50" s="171"/>
    </row>
    <row r="51" spans="2:3" ht="15">
      <c r="B51" s="170" t="s">
        <v>614</v>
      </c>
      <c r="C51" s="171"/>
    </row>
  </sheetData>
  <sheetProtection/>
  <mergeCells count="36">
    <mergeCell ref="I5:K5"/>
    <mergeCell ref="B32:K32"/>
    <mergeCell ref="B34:K34"/>
    <mergeCell ref="B36:K36"/>
    <mergeCell ref="C23:D23"/>
    <mergeCell ref="C24:D24"/>
    <mergeCell ref="C25:D25"/>
    <mergeCell ref="C26:D26"/>
    <mergeCell ref="C27:D27"/>
    <mergeCell ref="E23:F23"/>
    <mergeCell ref="E24:F24"/>
    <mergeCell ref="E25:F25"/>
    <mergeCell ref="E26:F26"/>
    <mergeCell ref="E27:F27"/>
    <mergeCell ref="G23:H23"/>
    <mergeCell ref="G24:H24"/>
    <mergeCell ref="G25:H25"/>
    <mergeCell ref="G26:H26"/>
    <mergeCell ref="G27:H27"/>
    <mergeCell ref="I30:K30"/>
    <mergeCell ref="C29:D29"/>
    <mergeCell ref="C30:D30"/>
    <mergeCell ref="E28:F28"/>
    <mergeCell ref="E29:F29"/>
    <mergeCell ref="E30:F30"/>
    <mergeCell ref="C28:D28"/>
    <mergeCell ref="G28:H28"/>
    <mergeCell ref="G29:H29"/>
    <mergeCell ref="G30:H30"/>
    <mergeCell ref="I23:K23"/>
    <mergeCell ref="I24:K24"/>
    <mergeCell ref="I25:K25"/>
    <mergeCell ref="I26:K26"/>
    <mergeCell ref="I27:K27"/>
    <mergeCell ref="I28:K28"/>
    <mergeCell ref="I29:K29"/>
  </mergeCells>
  <printOptions/>
  <pageMargins left="0" right="0" top="0" bottom="0" header="0.3" footer="0.3"/>
  <pageSetup horizontalDpi="600" verticalDpi="600" orientation="portrait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9.421875" style="287" customWidth="1"/>
    <col min="2" max="2" width="33.140625" style="220" bestFit="1" customWidth="1"/>
    <col min="3" max="3" width="16.8515625" style="220" bestFit="1" customWidth="1"/>
    <col min="4" max="4" width="18.00390625" style="220" bestFit="1" customWidth="1"/>
    <col min="5" max="11" width="16.140625" style="220" customWidth="1"/>
    <col min="12" max="12" width="18.00390625" style="220" bestFit="1" customWidth="1"/>
    <col min="13" max="13" width="16.140625" style="220" customWidth="1"/>
    <col min="14" max="14" width="18.140625" style="220" customWidth="1"/>
    <col min="15" max="15" width="16.140625" style="220" customWidth="1"/>
    <col min="16" max="16" width="19.421875" style="220" customWidth="1"/>
    <col min="17" max="16384" width="11.421875" style="220" customWidth="1"/>
  </cols>
  <sheetData>
    <row r="1" ht="15.75" thickBot="1">
      <c r="B1" s="281" t="s">
        <v>646</v>
      </c>
    </row>
    <row r="2" spans="1:16" ht="15">
      <c r="A2" s="424" t="s">
        <v>112</v>
      </c>
      <c r="B2" s="420" t="s">
        <v>19</v>
      </c>
      <c r="C2" s="422" t="s">
        <v>638</v>
      </c>
      <c r="D2" s="422"/>
      <c r="E2" s="422" t="s">
        <v>639</v>
      </c>
      <c r="F2" s="422"/>
      <c r="G2" s="422" t="s">
        <v>640</v>
      </c>
      <c r="H2" s="422"/>
      <c r="I2" s="422" t="s">
        <v>641</v>
      </c>
      <c r="J2" s="422"/>
      <c r="K2" s="422" t="s">
        <v>642</v>
      </c>
      <c r="L2" s="422"/>
      <c r="M2" s="422" t="s">
        <v>643</v>
      </c>
      <c r="N2" s="422"/>
      <c r="O2" s="422" t="s">
        <v>644</v>
      </c>
      <c r="P2" s="423"/>
    </row>
    <row r="3" spans="1:16" ht="15">
      <c r="A3" s="425"/>
      <c r="B3" s="421"/>
      <c r="C3" s="271" t="s">
        <v>114</v>
      </c>
      <c r="D3" s="271" t="s">
        <v>121</v>
      </c>
      <c r="E3" s="271" t="s">
        <v>114</v>
      </c>
      <c r="F3" s="271" t="s">
        <v>121</v>
      </c>
      <c r="G3" s="271" t="s">
        <v>114</v>
      </c>
      <c r="H3" s="271" t="s">
        <v>121</v>
      </c>
      <c r="I3" s="271" t="s">
        <v>114</v>
      </c>
      <c r="J3" s="271" t="s">
        <v>121</v>
      </c>
      <c r="K3" s="271" t="s">
        <v>114</v>
      </c>
      <c r="L3" s="271" t="s">
        <v>121</v>
      </c>
      <c r="M3" s="271" t="s">
        <v>114</v>
      </c>
      <c r="N3" s="271" t="s">
        <v>121</v>
      </c>
      <c r="O3" s="271" t="s">
        <v>114</v>
      </c>
      <c r="P3" s="274" t="s">
        <v>121</v>
      </c>
    </row>
    <row r="4" spans="1:16" ht="18" customHeight="1">
      <c r="A4" s="275">
        <v>1</v>
      </c>
      <c r="B4" s="271" t="s">
        <v>4</v>
      </c>
      <c r="C4" s="271">
        <v>7735438783.0199995</v>
      </c>
      <c r="D4" s="271">
        <v>7175029226.92</v>
      </c>
      <c r="E4" s="271">
        <v>3978403776</v>
      </c>
      <c r="F4" s="271">
        <v>6112893051.629999</v>
      </c>
      <c r="G4" s="271">
        <v>2187349441.45</v>
      </c>
      <c r="H4" s="271">
        <v>1973358819.0300002</v>
      </c>
      <c r="I4" s="271">
        <v>938519908.72</v>
      </c>
      <c r="J4" s="271">
        <v>1221752157.18</v>
      </c>
      <c r="K4" s="271">
        <v>43176547.36000001</v>
      </c>
      <c r="L4" s="271">
        <v>1444615823.2</v>
      </c>
      <c r="M4" s="271">
        <v>3777745850.3900003</v>
      </c>
      <c r="N4" s="271">
        <v>4568479816.42</v>
      </c>
      <c r="O4" s="271">
        <v>3539209617.44</v>
      </c>
      <c r="P4" s="274">
        <v>4888107868.55</v>
      </c>
    </row>
    <row r="5" spans="1:16" ht="18" customHeight="1">
      <c r="A5" s="275">
        <v>2</v>
      </c>
      <c r="B5" s="271" t="s">
        <v>8</v>
      </c>
      <c r="C5" s="271">
        <v>15054903135.31</v>
      </c>
      <c r="D5" s="271">
        <v>16805255596.15</v>
      </c>
      <c r="E5" s="271">
        <v>388733386.32112837</v>
      </c>
      <c r="F5" s="271">
        <v>337315836.33000016</v>
      </c>
      <c r="G5" s="271">
        <v>4738523500</v>
      </c>
      <c r="H5" s="271">
        <v>5244038560.150001</v>
      </c>
      <c r="I5" s="271">
        <v>84584644.4</v>
      </c>
      <c r="J5" s="271">
        <v>66478281.97000001</v>
      </c>
      <c r="K5" s="271">
        <v>9802964583.9</v>
      </c>
      <c r="L5" s="271">
        <v>13487563262</v>
      </c>
      <c r="M5" s="271">
        <v>768965315.61</v>
      </c>
      <c r="N5" s="271">
        <v>726628456.37</v>
      </c>
      <c r="O5" s="271">
        <v>106666124.46</v>
      </c>
      <c r="P5" s="274">
        <v>123323412.64</v>
      </c>
    </row>
    <row r="6" spans="1:16" ht="18" customHeight="1">
      <c r="A6" s="275">
        <v>3</v>
      </c>
      <c r="B6" s="271" t="s">
        <v>9</v>
      </c>
      <c r="C6" s="271">
        <v>1094992928.96</v>
      </c>
      <c r="D6" s="271">
        <v>3840972256.8100004</v>
      </c>
      <c r="E6" s="271">
        <v>126451245.12</v>
      </c>
      <c r="F6" s="271">
        <v>1766119165.9099998</v>
      </c>
      <c r="G6" s="271">
        <v>1472869762.96</v>
      </c>
      <c r="H6" s="271">
        <v>1725886636.3000002</v>
      </c>
      <c r="I6" s="271">
        <v>211572323.84</v>
      </c>
      <c r="J6" s="271">
        <v>447050670.64</v>
      </c>
      <c r="K6" s="271">
        <v>2445807825.05</v>
      </c>
      <c r="L6" s="271">
        <v>2270303702.49</v>
      </c>
      <c r="M6" s="271">
        <v>1905599160.4700003</v>
      </c>
      <c r="N6" s="271">
        <v>3337297400.1800003</v>
      </c>
      <c r="O6" s="271">
        <v>1159453412.62</v>
      </c>
      <c r="P6" s="274">
        <v>1135800572.6100001</v>
      </c>
    </row>
    <row r="7" spans="1:16" ht="18" customHeight="1">
      <c r="A7" s="275">
        <v>4</v>
      </c>
      <c r="B7" s="271" t="s">
        <v>10</v>
      </c>
      <c r="C7" s="271">
        <v>2678053001.31</v>
      </c>
      <c r="D7" s="271">
        <v>874738499.6</v>
      </c>
      <c r="E7" s="271">
        <v>2628083135.51</v>
      </c>
      <c r="F7" s="271">
        <v>2262856582.74</v>
      </c>
      <c r="G7" s="271">
        <v>929166515</v>
      </c>
      <c r="H7" s="271">
        <v>890475093.1</v>
      </c>
      <c r="I7" s="271">
        <v>37691660.18</v>
      </c>
      <c r="J7" s="271">
        <v>0</v>
      </c>
      <c r="K7" s="271">
        <v>0</v>
      </c>
      <c r="L7" s="271">
        <v>5000000000</v>
      </c>
      <c r="M7" s="271">
        <v>1987312000</v>
      </c>
      <c r="N7" s="271">
        <v>1266978529.96</v>
      </c>
      <c r="O7" s="271"/>
      <c r="P7" s="274"/>
    </row>
    <row r="8" spans="1:16" ht="18" customHeight="1">
      <c r="A8" s="275" t="s">
        <v>653</v>
      </c>
      <c r="B8" s="271" t="s">
        <v>647</v>
      </c>
      <c r="C8" s="271">
        <f aca="true" t="shared" si="0" ref="C8:P8">+C4+C5-C6-C7</f>
        <v>19017295988.059998</v>
      </c>
      <c r="D8" s="271">
        <f t="shared" si="0"/>
        <v>19264574066.66</v>
      </c>
      <c r="E8" s="271">
        <f t="shared" si="0"/>
        <v>1612602781.6911287</v>
      </c>
      <c r="F8" s="271">
        <f t="shared" si="0"/>
        <v>2421233139.3099995</v>
      </c>
      <c r="G8" s="271">
        <f t="shared" si="0"/>
        <v>4523836663.49</v>
      </c>
      <c r="H8" s="271">
        <f t="shared" si="0"/>
        <v>4601035649.78</v>
      </c>
      <c r="I8" s="271">
        <f t="shared" si="0"/>
        <v>773840569.1</v>
      </c>
      <c r="J8" s="271">
        <f t="shared" si="0"/>
        <v>841179768.5100001</v>
      </c>
      <c r="K8" s="271">
        <f t="shared" si="0"/>
        <v>7400333306.21</v>
      </c>
      <c r="L8" s="271">
        <f t="shared" si="0"/>
        <v>7661875382.710001</v>
      </c>
      <c r="M8" s="271">
        <f t="shared" si="0"/>
        <v>653800005.5299997</v>
      </c>
      <c r="N8" s="271">
        <f t="shared" si="0"/>
        <v>690832342.6499996</v>
      </c>
      <c r="O8" s="271">
        <f t="shared" si="0"/>
        <v>2486422329.28</v>
      </c>
      <c r="P8" s="274">
        <f t="shared" si="0"/>
        <v>3875630708.5800004</v>
      </c>
    </row>
    <row r="9" spans="1:16" ht="30">
      <c r="A9" s="275">
        <v>6</v>
      </c>
      <c r="B9" s="272" t="s">
        <v>648</v>
      </c>
      <c r="C9" s="273">
        <v>1</v>
      </c>
      <c r="D9" s="273">
        <v>1</v>
      </c>
      <c r="E9" s="273">
        <v>1</v>
      </c>
      <c r="F9" s="273">
        <v>1</v>
      </c>
      <c r="G9" s="273">
        <v>1</v>
      </c>
      <c r="H9" s="273">
        <v>1</v>
      </c>
      <c r="I9" s="273">
        <v>1</v>
      </c>
      <c r="J9" s="273">
        <v>1</v>
      </c>
      <c r="K9" s="273">
        <v>1</v>
      </c>
      <c r="L9" s="273">
        <v>1</v>
      </c>
      <c r="M9" s="273">
        <v>1</v>
      </c>
      <c r="N9" s="273">
        <v>1</v>
      </c>
      <c r="O9" s="273">
        <v>1</v>
      </c>
      <c r="P9" s="276">
        <v>1</v>
      </c>
    </row>
    <row r="10" spans="1:16" ht="45">
      <c r="A10" s="275" t="s">
        <v>654</v>
      </c>
      <c r="B10" s="272" t="s">
        <v>649</v>
      </c>
      <c r="C10" s="271">
        <f>+C9*C8</f>
        <v>19017295988.059998</v>
      </c>
      <c r="D10" s="271">
        <f aca="true" t="shared" si="1" ref="D10:P10">+D9*D8</f>
        <v>19264574066.66</v>
      </c>
      <c r="E10" s="271">
        <f t="shared" si="1"/>
        <v>1612602781.6911287</v>
      </c>
      <c r="F10" s="271">
        <f t="shared" si="1"/>
        <v>2421233139.3099995</v>
      </c>
      <c r="G10" s="271">
        <f t="shared" si="1"/>
        <v>4523836663.49</v>
      </c>
      <c r="H10" s="271">
        <f t="shared" si="1"/>
        <v>4601035649.78</v>
      </c>
      <c r="I10" s="271">
        <f t="shared" si="1"/>
        <v>773840569.1</v>
      </c>
      <c r="J10" s="271">
        <f t="shared" si="1"/>
        <v>841179768.5100001</v>
      </c>
      <c r="K10" s="271">
        <f t="shared" si="1"/>
        <v>7400333306.21</v>
      </c>
      <c r="L10" s="271">
        <f t="shared" si="1"/>
        <v>7661875382.710001</v>
      </c>
      <c r="M10" s="271">
        <f t="shared" si="1"/>
        <v>653800005.5299997</v>
      </c>
      <c r="N10" s="271">
        <f t="shared" si="1"/>
        <v>690832342.6499996</v>
      </c>
      <c r="O10" s="271">
        <f t="shared" si="1"/>
        <v>2486422329.28</v>
      </c>
      <c r="P10" s="274">
        <f t="shared" si="1"/>
        <v>3875630708.5800004</v>
      </c>
    </row>
    <row r="11" spans="1:16" ht="15">
      <c r="A11" s="275">
        <v>8</v>
      </c>
      <c r="B11" s="271" t="s">
        <v>650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4"/>
    </row>
    <row r="12" spans="1:16" ht="30">
      <c r="A12" s="275">
        <v>9</v>
      </c>
      <c r="B12" s="272" t="s">
        <v>651</v>
      </c>
      <c r="C12" s="271"/>
      <c r="D12" s="271">
        <v>990859436</v>
      </c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4"/>
    </row>
    <row r="13" spans="1:16" ht="45.75" thickBot="1">
      <c r="A13" s="277" t="s">
        <v>655</v>
      </c>
      <c r="B13" s="278" t="s">
        <v>652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80"/>
    </row>
    <row r="15" ht="15.75" thickBot="1"/>
    <row r="16" spans="1:16" ht="15">
      <c r="A16" s="424" t="s">
        <v>112</v>
      </c>
      <c r="B16" s="420" t="s">
        <v>19</v>
      </c>
      <c r="C16" s="422" t="s">
        <v>638</v>
      </c>
      <c r="D16" s="422"/>
      <c r="E16" s="422" t="s">
        <v>639</v>
      </c>
      <c r="F16" s="422"/>
      <c r="G16" s="422" t="s">
        <v>640</v>
      </c>
      <c r="H16" s="422"/>
      <c r="I16" s="422" t="s">
        <v>641</v>
      </c>
      <c r="J16" s="422"/>
      <c r="K16" s="422" t="s">
        <v>642</v>
      </c>
      <c r="L16" s="422"/>
      <c r="M16" s="422" t="s">
        <v>643</v>
      </c>
      <c r="N16" s="422"/>
      <c r="O16" s="422" t="s">
        <v>644</v>
      </c>
      <c r="P16" s="423"/>
    </row>
    <row r="17" spans="1:16" ht="15">
      <c r="A17" s="425"/>
      <c r="B17" s="421"/>
      <c r="C17" s="271" t="s">
        <v>114</v>
      </c>
      <c r="D17" s="271" t="s">
        <v>121</v>
      </c>
      <c r="E17" s="271" t="s">
        <v>114</v>
      </c>
      <c r="F17" s="271" t="s">
        <v>121</v>
      </c>
      <c r="G17" s="271" t="s">
        <v>114</v>
      </c>
      <c r="H17" s="271" t="s">
        <v>121</v>
      </c>
      <c r="I17" s="271" t="s">
        <v>114</v>
      </c>
      <c r="J17" s="271" t="s">
        <v>121</v>
      </c>
      <c r="K17" s="271" t="s">
        <v>114</v>
      </c>
      <c r="L17" s="271" t="s">
        <v>121</v>
      </c>
      <c r="M17" s="271" t="s">
        <v>114</v>
      </c>
      <c r="N17" s="271" t="s">
        <v>121</v>
      </c>
      <c r="O17" s="271" t="s">
        <v>114</v>
      </c>
      <c r="P17" s="274" t="s">
        <v>121</v>
      </c>
    </row>
    <row r="18" spans="1:16" ht="20.25" customHeight="1">
      <c r="A18" s="275">
        <v>1</v>
      </c>
      <c r="B18" s="271" t="s">
        <v>656</v>
      </c>
      <c r="C18" s="271">
        <v>983585476.44</v>
      </c>
      <c r="D18" s="271">
        <v>8220475219</v>
      </c>
      <c r="E18" s="271">
        <v>1415645423</v>
      </c>
      <c r="F18" s="271">
        <v>7584187531.879999</v>
      </c>
      <c r="G18" s="271">
        <v>6606802609</v>
      </c>
      <c r="H18" s="271">
        <v>5845162945</v>
      </c>
      <c r="I18" s="271">
        <v>825869609.43</v>
      </c>
      <c r="J18" s="271">
        <v>1746335712.2157543</v>
      </c>
      <c r="K18" s="271">
        <v>693836166.3309094</v>
      </c>
      <c r="L18" s="271">
        <v>1331363537.6399999</v>
      </c>
      <c r="M18" s="271">
        <v>656461169</v>
      </c>
      <c r="N18" s="271">
        <v>1557248042.08</v>
      </c>
      <c r="O18" s="271">
        <v>536256558.40999997</v>
      </c>
      <c r="P18" s="274">
        <v>638043958.5799999</v>
      </c>
    </row>
    <row r="19" spans="1:16" ht="30">
      <c r="A19" s="275">
        <v>2</v>
      </c>
      <c r="B19" s="272" t="s">
        <v>657</v>
      </c>
      <c r="C19" s="271">
        <v>47117134.29600005</v>
      </c>
      <c r="D19" s="271">
        <v>206571230.0628701</v>
      </c>
      <c r="E19" s="271">
        <v>199651209.05512103</v>
      </c>
      <c r="F19" s="271">
        <v>1248881346.0543408</v>
      </c>
      <c r="G19" s="271">
        <v>423339650.1</v>
      </c>
      <c r="H19" s="271">
        <v>155249174</v>
      </c>
      <c r="I19" s="271">
        <v>115029501.03899994</v>
      </c>
      <c r="J19" s="271">
        <v>93153290.81298822</v>
      </c>
      <c r="K19" s="271">
        <v>213893825.18664485</v>
      </c>
      <c r="L19" s="271">
        <v>272581924.30453277</v>
      </c>
      <c r="M19" s="271">
        <v>-55561979</v>
      </c>
      <c r="N19" s="271">
        <v>42990034.25999978</v>
      </c>
      <c r="O19" s="271">
        <v>185654306.547</v>
      </c>
      <c r="P19" s="274">
        <v>389208379.3019999</v>
      </c>
    </row>
    <row r="20" spans="1:16" ht="30">
      <c r="A20" s="275">
        <v>3</v>
      </c>
      <c r="B20" s="272" t="s">
        <v>658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4"/>
    </row>
    <row r="21" spans="1:16" ht="30">
      <c r="A21" s="275">
        <v>4</v>
      </c>
      <c r="B21" s="272" t="s">
        <v>659</v>
      </c>
      <c r="C21" s="271">
        <f>+C19</f>
        <v>47117134.29600005</v>
      </c>
      <c r="D21" s="271">
        <f aca="true" t="shared" si="2" ref="D21:P21">+D19</f>
        <v>206571230.0628701</v>
      </c>
      <c r="E21" s="271">
        <f t="shared" si="2"/>
        <v>199651209.05512103</v>
      </c>
      <c r="F21" s="271">
        <f t="shared" si="2"/>
        <v>1248881346.0543408</v>
      </c>
      <c r="G21" s="271">
        <f t="shared" si="2"/>
        <v>423339650.1</v>
      </c>
      <c r="H21" s="271">
        <f t="shared" si="2"/>
        <v>155249174</v>
      </c>
      <c r="I21" s="271">
        <f t="shared" si="2"/>
        <v>115029501.03899994</v>
      </c>
      <c r="J21" s="271">
        <f t="shared" si="2"/>
        <v>93153290.81298822</v>
      </c>
      <c r="K21" s="271">
        <f t="shared" si="2"/>
        <v>213893825.18664485</v>
      </c>
      <c r="L21" s="271">
        <f t="shared" si="2"/>
        <v>272581924.30453277</v>
      </c>
      <c r="M21" s="271">
        <f t="shared" si="2"/>
        <v>-55561979</v>
      </c>
      <c r="N21" s="271">
        <f t="shared" si="2"/>
        <v>42990034.25999978</v>
      </c>
      <c r="O21" s="271">
        <f t="shared" si="2"/>
        <v>185654306.547</v>
      </c>
      <c r="P21" s="271">
        <f t="shared" si="2"/>
        <v>389208379.3019999</v>
      </c>
    </row>
    <row r="22" spans="1:16" ht="15">
      <c r="A22" s="275">
        <v>5</v>
      </c>
      <c r="B22" s="272" t="s">
        <v>630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</row>
    <row r="23" spans="1:16" ht="15">
      <c r="A23" s="275">
        <v>6</v>
      </c>
      <c r="B23" s="272" t="s">
        <v>24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</row>
    <row r="24" spans="1:16" ht="45">
      <c r="A24" s="275">
        <v>7</v>
      </c>
      <c r="B24" s="272" t="s">
        <v>661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</row>
    <row r="25" spans="1:16" ht="30">
      <c r="A25" s="275">
        <v>8</v>
      </c>
      <c r="B25" s="272" t="str">
        <f>+B9</f>
        <v>Охин компани дахь толгой компанийн эзэмшлийн хувь</v>
      </c>
      <c r="C25" s="283">
        <v>1</v>
      </c>
      <c r="D25" s="283">
        <v>1</v>
      </c>
      <c r="E25" s="283">
        <v>1</v>
      </c>
      <c r="F25" s="283">
        <v>1</v>
      </c>
      <c r="G25" s="283">
        <v>1</v>
      </c>
      <c r="H25" s="283">
        <v>1</v>
      </c>
      <c r="I25" s="283">
        <v>1</v>
      </c>
      <c r="J25" s="283">
        <v>1</v>
      </c>
      <c r="K25" s="283">
        <v>1</v>
      </c>
      <c r="L25" s="283">
        <v>1</v>
      </c>
      <c r="M25" s="283">
        <v>1</v>
      </c>
      <c r="N25" s="283">
        <v>1</v>
      </c>
      <c r="O25" s="283">
        <v>1</v>
      </c>
      <c r="P25" s="283">
        <v>1</v>
      </c>
    </row>
    <row r="26" spans="1:16" ht="60.75" thickBot="1">
      <c r="A26" s="277" t="s">
        <v>662</v>
      </c>
      <c r="B26" s="282" t="s">
        <v>660</v>
      </c>
      <c r="C26" s="284">
        <f>+C25*C19</f>
        <v>47117134.29600005</v>
      </c>
      <c r="D26" s="284">
        <f aca="true" t="shared" si="3" ref="D26:P26">+D25*D19</f>
        <v>206571230.0628701</v>
      </c>
      <c r="E26" s="284">
        <f t="shared" si="3"/>
        <v>199651209.05512103</v>
      </c>
      <c r="F26" s="284">
        <f t="shared" si="3"/>
        <v>1248881346.0543408</v>
      </c>
      <c r="G26" s="284">
        <f t="shared" si="3"/>
        <v>423339650.1</v>
      </c>
      <c r="H26" s="284">
        <f t="shared" si="3"/>
        <v>155249174</v>
      </c>
      <c r="I26" s="284">
        <f t="shared" si="3"/>
        <v>115029501.03899994</v>
      </c>
      <c r="J26" s="284">
        <f t="shared" si="3"/>
        <v>93153290.81298822</v>
      </c>
      <c r="K26" s="284">
        <f t="shared" si="3"/>
        <v>213893825.18664485</v>
      </c>
      <c r="L26" s="284">
        <f t="shared" si="3"/>
        <v>272581924.30453277</v>
      </c>
      <c r="M26" s="284">
        <f t="shared" si="3"/>
        <v>-55561979</v>
      </c>
      <c r="N26" s="284">
        <f t="shared" si="3"/>
        <v>42990034.25999978</v>
      </c>
      <c r="O26" s="284">
        <f t="shared" si="3"/>
        <v>185654306.547</v>
      </c>
      <c r="P26" s="284">
        <f t="shared" si="3"/>
        <v>389208379.3019999</v>
      </c>
    </row>
  </sheetData>
  <sheetProtection/>
  <mergeCells count="18">
    <mergeCell ref="O16:P16"/>
    <mergeCell ref="A2:A3"/>
    <mergeCell ref="M2:N2"/>
    <mergeCell ref="O2:P2"/>
    <mergeCell ref="A16:A17"/>
    <mergeCell ref="B16:B17"/>
    <mergeCell ref="C16:D16"/>
    <mergeCell ref="E16:F16"/>
    <mergeCell ref="G16:H16"/>
    <mergeCell ref="I16:J16"/>
    <mergeCell ref="B2:B3"/>
    <mergeCell ref="M16:N16"/>
    <mergeCell ref="K16:L16"/>
    <mergeCell ref="C2:D2"/>
    <mergeCell ref="E2:F2"/>
    <mergeCell ref="G2:H2"/>
    <mergeCell ref="I2:J2"/>
    <mergeCell ref="K2:L2"/>
  </mergeCells>
  <printOptions/>
  <pageMargins left="0" right="0" top="0" bottom="0" header="0.3" footer="0.3"/>
  <pageSetup horizontalDpi="600" verticalDpi="6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P48"/>
  <sheetViews>
    <sheetView zoomScalePageLayoutView="0" workbookViewId="0" topLeftCell="A1">
      <selection activeCell="F44" sqref="F44:G44"/>
    </sheetView>
  </sheetViews>
  <sheetFormatPr defaultColWidth="9.140625" defaultRowHeight="15"/>
  <cols>
    <col min="1" max="1" width="6.28125" style="141" customWidth="1"/>
    <col min="2" max="2" width="6.8515625" style="229" customWidth="1"/>
    <col min="3" max="3" width="29.8515625" style="141" customWidth="1"/>
    <col min="4" max="4" width="17.421875" style="159" customWidth="1"/>
    <col min="5" max="5" width="14.8515625" style="159" customWidth="1"/>
    <col min="6" max="6" width="17.421875" style="159" customWidth="1"/>
    <col min="7" max="21" width="17.421875" style="141" customWidth="1"/>
    <col min="22" max="16384" width="11.421875" style="141" customWidth="1"/>
  </cols>
  <sheetData>
    <row r="1" spans="1:5" ht="15" customHeight="1">
      <c r="A1" s="428" t="s">
        <v>446</v>
      </c>
      <c r="B1" s="428"/>
      <c r="C1" s="428"/>
      <c r="D1" s="428"/>
      <c r="E1" s="428"/>
    </row>
    <row r="2" ht="15.75">
      <c r="B2" s="228" t="s">
        <v>445</v>
      </c>
    </row>
    <row r="3" spans="2:7" ht="15.75">
      <c r="B3" s="429" t="s">
        <v>617</v>
      </c>
      <c r="C3" s="429"/>
      <c r="D3" s="429"/>
      <c r="E3" s="429"/>
      <c r="F3" s="232"/>
      <c r="G3" s="173"/>
    </row>
    <row r="4" ht="15">
      <c r="E4" s="17" t="s">
        <v>1</v>
      </c>
    </row>
    <row r="5" spans="2:5" ht="30">
      <c r="B5" s="23" t="s">
        <v>112</v>
      </c>
      <c r="C5" s="23" t="s">
        <v>19</v>
      </c>
      <c r="D5" s="227" t="s">
        <v>114</v>
      </c>
      <c r="E5" s="227" t="s">
        <v>121</v>
      </c>
    </row>
    <row r="6" spans="2:5" ht="15">
      <c r="B6" s="230" t="s">
        <v>212</v>
      </c>
      <c r="C6" s="19" t="s">
        <v>115</v>
      </c>
      <c r="D6" s="27">
        <v>0</v>
      </c>
      <c r="E6" s="27">
        <v>0</v>
      </c>
    </row>
    <row r="7" spans="2:5" ht="15">
      <c r="B7" s="230" t="s">
        <v>213</v>
      </c>
      <c r="C7" s="19" t="s">
        <v>116</v>
      </c>
      <c r="D7" s="27">
        <f>+'balance sheet'!D8</f>
        <v>458005676.86</v>
      </c>
      <c r="E7" s="27">
        <f>+'balance sheet'!E8</f>
        <v>481779771.6999998</v>
      </c>
    </row>
    <row r="8" spans="2:5" ht="15">
      <c r="B8" s="230" t="s">
        <v>214</v>
      </c>
      <c r="C8" s="19" t="s">
        <v>117</v>
      </c>
      <c r="D8" s="27"/>
      <c r="E8" s="27"/>
    </row>
    <row r="9" spans="2:5" ht="15">
      <c r="B9" s="230" t="s">
        <v>215</v>
      </c>
      <c r="C9" s="25" t="s">
        <v>118</v>
      </c>
      <c r="D9" s="27">
        <f>SUM(D6:D8)</f>
        <v>458005676.86</v>
      </c>
      <c r="E9" s="27">
        <f>SUM(E6:E8)</f>
        <v>481779771.6999998</v>
      </c>
    </row>
    <row r="10" ht="15.75">
      <c r="B10" s="228" t="s">
        <v>216</v>
      </c>
    </row>
    <row r="11" ht="15">
      <c r="B11" s="231" t="s">
        <v>209</v>
      </c>
    </row>
    <row r="12" ht="15.75">
      <c r="B12" s="228" t="s">
        <v>445</v>
      </c>
    </row>
    <row r="13" spans="2:7" ht="15.75">
      <c r="B13" s="429" t="s">
        <v>618</v>
      </c>
      <c r="C13" s="429"/>
      <c r="D13" s="429"/>
      <c r="E13" s="429"/>
      <c r="F13" s="429"/>
      <c r="G13" s="173"/>
    </row>
    <row r="14" ht="15">
      <c r="F14" s="17" t="s">
        <v>1</v>
      </c>
    </row>
    <row r="15" spans="2:6" ht="45">
      <c r="B15" s="23" t="s">
        <v>112</v>
      </c>
      <c r="C15" s="23" t="s">
        <v>19</v>
      </c>
      <c r="D15" s="227" t="s">
        <v>3</v>
      </c>
      <c r="E15" s="227" t="s">
        <v>218</v>
      </c>
      <c r="F15" s="227" t="s">
        <v>119</v>
      </c>
    </row>
    <row r="16" spans="2:7" ht="15">
      <c r="B16" s="230" t="s">
        <v>212</v>
      </c>
      <c r="C16" s="19" t="s">
        <v>114</v>
      </c>
      <c r="D16" s="27">
        <f>+'balance sheet'!D9</f>
        <v>6254458808.91</v>
      </c>
      <c r="E16" s="27">
        <v>0</v>
      </c>
      <c r="F16" s="27">
        <f>+D16+E16</f>
        <v>6254458808.91</v>
      </c>
      <c r="G16" s="220"/>
    </row>
    <row r="17" spans="2:7" ht="15">
      <c r="B17" s="230" t="s">
        <v>219</v>
      </c>
      <c r="C17" s="182" t="s">
        <v>120</v>
      </c>
      <c r="D17" s="219">
        <v>14823444574.38</v>
      </c>
      <c r="E17" s="219">
        <v>0</v>
      </c>
      <c r="F17" s="27">
        <f>+D17+E17</f>
        <v>14823444574.38</v>
      </c>
      <c r="G17" s="220"/>
    </row>
    <row r="18" spans="2:7" ht="15">
      <c r="B18" s="230" t="s">
        <v>214</v>
      </c>
      <c r="C18" s="182" t="s">
        <v>220</v>
      </c>
      <c r="D18" s="219">
        <f>+D19</f>
        <v>15564725376.351917</v>
      </c>
      <c r="E18" s="219">
        <f>SUM(E19:E20)</f>
        <v>0</v>
      </c>
      <c r="F18" s="27">
        <f>+D18+E18</f>
        <v>15564725376.351917</v>
      </c>
      <c r="G18" s="220"/>
    </row>
    <row r="19" spans="2:7" ht="15">
      <c r="B19" s="230" t="s">
        <v>221</v>
      </c>
      <c r="C19" s="182" t="s">
        <v>222</v>
      </c>
      <c r="D19" s="219">
        <f>+D16+D17-D22</f>
        <v>15564725376.351917</v>
      </c>
      <c r="E19" s="219">
        <v>0</v>
      </c>
      <c r="F19" s="27">
        <f>+D19+E19</f>
        <v>15564725376.351917</v>
      </c>
      <c r="G19" s="220"/>
    </row>
    <row r="20" spans="2:7" ht="15">
      <c r="B20" s="230" t="s">
        <v>223</v>
      </c>
      <c r="C20" s="182" t="s">
        <v>224</v>
      </c>
      <c r="D20" s="219">
        <v>0</v>
      </c>
      <c r="E20" s="219">
        <v>0</v>
      </c>
      <c r="F20" s="27">
        <v>0</v>
      </c>
      <c r="G20" s="220"/>
    </row>
    <row r="21" spans="2:7" ht="15">
      <c r="B21" s="230" t="s">
        <v>215</v>
      </c>
      <c r="C21" s="19" t="s">
        <v>121</v>
      </c>
      <c r="D21" s="27">
        <f>+D16+D17-D18</f>
        <v>5513178006.938084</v>
      </c>
      <c r="E21" s="27">
        <f>+E16+E17-E18</f>
        <v>0</v>
      </c>
      <c r="F21" s="27">
        <f>+F16+F17-F18</f>
        <v>5513178006.938084</v>
      </c>
      <c r="G21" s="220"/>
    </row>
    <row r="22" spans="1:120" ht="15">
      <c r="A22" s="141" t="s">
        <v>209</v>
      </c>
      <c r="B22" s="229" t="s">
        <v>209</v>
      </c>
      <c r="C22" s="221" t="s">
        <v>209</v>
      </c>
      <c r="D22" s="233">
        <f>+'balance sheet'!E9</f>
        <v>5513178006.938084</v>
      </c>
      <c r="E22" s="233"/>
      <c r="F22" s="234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</row>
    <row r="23" spans="2:6" ht="15.75">
      <c r="B23" s="228" t="s">
        <v>445</v>
      </c>
      <c r="C23" s="221"/>
      <c r="D23" s="233">
        <f>+D22-D21</f>
        <v>0</v>
      </c>
      <c r="E23" s="233"/>
      <c r="F23" s="234"/>
    </row>
    <row r="24" spans="2:6" ht="15.75">
      <c r="B24" s="427" t="s">
        <v>619</v>
      </c>
      <c r="C24" s="427"/>
      <c r="D24" s="427"/>
      <c r="E24" s="427"/>
      <c r="F24" s="232"/>
    </row>
    <row r="25" ht="15">
      <c r="E25" s="17" t="s">
        <v>1</v>
      </c>
    </row>
    <row r="26" spans="2:5" ht="30">
      <c r="B26" s="23" t="s">
        <v>112</v>
      </c>
      <c r="C26" s="23" t="s">
        <v>19</v>
      </c>
      <c r="D26" s="227" t="s">
        <v>121</v>
      </c>
      <c r="E26" s="227" t="s">
        <v>121</v>
      </c>
    </row>
    <row r="27" spans="2:7" ht="15">
      <c r="B27" s="230" t="s">
        <v>212</v>
      </c>
      <c r="C27" s="19" t="s">
        <v>226</v>
      </c>
      <c r="D27" s="27"/>
      <c r="E27" s="27">
        <v>131945219.36</v>
      </c>
      <c r="G27" s="129"/>
    </row>
    <row r="28" spans="2:7" ht="15">
      <c r="B28" s="230" t="s">
        <v>213</v>
      </c>
      <c r="C28" s="19" t="s">
        <v>122</v>
      </c>
      <c r="D28" s="27">
        <f>+'balance sheet'!D10-D27</f>
        <v>192103589.36</v>
      </c>
      <c r="E28" s="27">
        <v>60158370</v>
      </c>
      <c r="G28" s="129"/>
    </row>
    <row r="29" spans="2:5" ht="15">
      <c r="B29" s="230" t="s">
        <v>214</v>
      </c>
      <c r="C29" s="19" t="s">
        <v>227</v>
      </c>
      <c r="D29" s="27">
        <v>0</v>
      </c>
      <c r="E29" s="27">
        <v>0</v>
      </c>
    </row>
    <row r="30" spans="2:5" ht="15">
      <c r="B30" s="230" t="s">
        <v>215</v>
      </c>
      <c r="C30" s="19"/>
      <c r="D30" s="27">
        <v>0</v>
      </c>
      <c r="E30" s="27">
        <v>0</v>
      </c>
    </row>
    <row r="31" spans="2:5" ht="15">
      <c r="B31" s="230" t="s">
        <v>209</v>
      </c>
      <c r="C31" s="25" t="s">
        <v>118</v>
      </c>
      <c r="D31" s="27">
        <f>SUM(D27:D30)</f>
        <v>192103589.36</v>
      </c>
      <c r="E31" s="27">
        <f>SUM(E27:E30)</f>
        <v>192103589.36</v>
      </c>
    </row>
    <row r="32" spans="1:120" ht="15">
      <c r="A32" s="141" t="s">
        <v>209</v>
      </c>
      <c r="B32" s="229" t="s">
        <v>209</v>
      </c>
      <c r="C32" s="141" t="s">
        <v>209</v>
      </c>
      <c r="D32" s="159" t="s">
        <v>209</v>
      </c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</row>
    <row r="33" ht="15.75">
      <c r="B33" s="228" t="s">
        <v>445</v>
      </c>
    </row>
    <row r="34" spans="2:6" ht="15.75">
      <c r="B34" s="427" t="s">
        <v>228</v>
      </c>
      <c r="C34" s="427"/>
      <c r="D34" s="427"/>
      <c r="E34" s="232"/>
      <c r="F34" s="232"/>
    </row>
    <row r="35" ht="15">
      <c r="E35" s="17" t="s">
        <v>1</v>
      </c>
    </row>
    <row r="36" spans="2:5" ht="30">
      <c r="B36" s="23" t="s">
        <v>112</v>
      </c>
      <c r="C36" s="23" t="s">
        <v>19</v>
      </c>
      <c r="D36" s="227" t="s">
        <v>121</v>
      </c>
      <c r="E36" s="227" t="s">
        <v>121</v>
      </c>
    </row>
    <row r="37" spans="2:5" ht="30.75" customHeight="1">
      <c r="B37" s="230" t="s">
        <v>212</v>
      </c>
      <c r="C37" s="19" t="s">
        <v>229</v>
      </c>
      <c r="D37" s="27">
        <v>0</v>
      </c>
      <c r="E37" s="27">
        <v>0</v>
      </c>
    </row>
    <row r="38" spans="2:5" ht="15">
      <c r="B38" s="230" t="s">
        <v>213</v>
      </c>
      <c r="C38" s="19" t="s">
        <v>123</v>
      </c>
      <c r="D38" s="27">
        <v>0</v>
      </c>
      <c r="E38" s="27">
        <v>0</v>
      </c>
    </row>
    <row r="39" spans="2:5" ht="15">
      <c r="B39" s="230" t="s">
        <v>214</v>
      </c>
      <c r="C39" s="19" t="s">
        <v>230</v>
      </c>
      <c r="D39" s="27">
        <v>0</v>
      </c>
      <c r="E39" s="27">
        <v>0</v>
      </c>
    </row>
    <row r="40" spans="2:5" ht="15">
      <c r="B40" s="230" t="s">
        <v>215</v>
      </c>
      <c r="C40" s="19" t="s">
        <v>124</v>
      </c>
      <c r="D40" s="27">
        <v>0</v>
      </c>
      <c r="E40" s="27">
        <v>0</v>
      </c>
    </row>
    <row r="41" spans="2:5" ht="17.25" customHeight="1">
      <c r="B41" s="230" t="s">
        <v>215</v>
      </c>
      <c r="C41" s="19" t="s">
        <v>125</v>
      </c>
      <c r="D41" s="27">
        <v>0</v>
      </c>
      <c r="E41" s="27">
        <v>0</v>
      </c>
    </row>
    <row r="42" spans="2:5" ht="17.25" customHeight="1">
      <c r="B42" s="230" t="s">
        <v>215</v>
      </c>
      <c r="C42" s="19" t="s">
        <v>126</v>
      </c>
      <c r="D42" s="27">
        <f>+'balance sheet'!D11</f>
        <v>134037841.99</v>
      </c>
      <c r="E42" s="27">
        <f>+'balance sheet'!E11</f>
        <v>153763739.99081448</v>
      </c>
    </row>
    <row r="43" spans="2:5" ht="15">
      <c r="B43" s="230" t="s">
        <v>215</v>
      </c>
      <c r="C43" s="19"/>
      <c r="D43" s="27">
        <v>0</v>
      </c>
      <c r="E43" s="27">
        <v>0</v>
      </c>
    </row>
    <row r="44" spans="2:5" ht="15">
      <c r="B44" s="230" t="s">
        <v>215</v>
      </c>
      <c r="C44" s="25" t="s">
        <v>118</v>
      </c>
      <c r="D44" s="27">
        <v>0</v>
      </c>
      <c r="E44" s="27">
        <v>0</v>
      </c>
    </row>
    <row r="45" ht="15.75">
      <c r="B45" s="228" t="s">
        <v>216</v>
      </c>
    </row>
    <row r="46" spans="3:5" ht="15" customHeight="1">
      <c r="C46" s="18" t="s">
        <v>418</v>
      </c>
      <c r="D46" s="235"/>
      <c r="E46" s="235"/>
    </row>
    <row r="47" spans="3:5" ht="15" customHeight="1">
      <c r="C47" s="18"/>
      <c r="D47" s="235"/>
      <c r="E47" s="235"/>
    </row>
    <row r="48" spans="3:5" ht="15" customHeight="1">
      <c r="C48" s="18" t="s">
        <v>419</v>
      </c>
      <c r="D48" s="235"/>
      <c r="E48" s="235"/>
    </row>
  </sheetData>
  <sheetProtection/>
  <mergeCells count="7">
    <mergeCell ref="BP22:DP22"/>
    <mergeCell ref="BP32:DP32"/>
    <mergeCell ref="B34:D34"/>
    <mergeCell ref="A1:E1"/>
    <mergeCell ref="B3:E3"/>
    <mergeCell ref="B13:F13"/>
    <mergeCell ref="B24:E24"/>
  </mergeCells>
  <printOptions/>
  <pageMargins left="0.5905511811023623" right="0" top="0" bottom="0" header="0.31496062992125984" footer="0.31496062992125984"/>
  <pageSetup horizontalDpi="600" verticalDpi="600" orientation="portrait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00390625" style="141" customWidth="1"/>
    <col min="2" max="2" width="5.28125" style="229" customWidth="1"/>
    <col min="3" max="3" width="28.00390625" style="141" customWidth="1"/>
    <col min="4" max="5" width="17.421875" style="141" customWidth="1"/>
    <col min="6" max="7" width="17.7109375" style="141" bestFit="1" customWidth="1"/>
    <col min="8" max="8" width="16.28125" style="141" customWidth="1"/>
    <col min="9" max="9" width="16.7109375" style="141" bestFit="1" customWidth="1"/>
    <col min="10" max="10" width="16.8515625" style="141" bestFit="1" customWidth="1"/>
    <col min="11" max="21" width="17.421875" style="141" customWidth="1"/>
    <col min="22" max="16384" width="11.421875" style="141" customWidth="1"/>
  </cols>
  <sheetData>
    <row r="1" spans="1:4" ht="15.75">
      <c r="A1" s="432" t="s">
        <v>445</v>
      </c>
      <c r="B1" s="432"/>
      <c r="C1" s="432"/>
      <c r="D1" s="236"/>
    </row>
    <row r="2" spans="2:6" ht="15.75">
      <c r="B2" s="427" t="s">
        <v>231</v>
      </c>
      <c r="C2" s="427"/>
      <c r="D2" s="427"/>
      <c r="E2" s="173"/>
      <c r="F2" s="173"/>
    </row>
    <row r="3" ht="15">
      <c r="E3" s="17" t="s">
        <v>1</v>
      </c>
    </row>
    <row r="4" spans="2:5" ht="30">
      <c r="B4" s="23" t="s">
        <v>112</v>
      </c>
      <c r="C4" s="23" t="s">
        <v>19</v>
      </c>
      <c r="D4" s="23" t="s">
        <v>121</v>
      </c>
      <c r="E4" s="23" t="s">
        <v>121</v>
      </c>
    </row>
    <row r="5" spans="2:5" ht="15">
      <c r="B5" s="230" t="s">
        <v>232</v>
      </c>
      <c r="C5" s="19"/>
      <c r="D5" s="24"/>
      <c r="E5" s="24"/>
    </row>
    <row r="6" spans="2:5" ht="15">
      <c r="B6" s="230" t="s">
        <v>209</v>
      </c>
      <c r="C6" s="25" t="s">
        <v>118</v>
      </c>
      <c r="D6" s="24">
        <f>SUM(D5)</f>
        <v>0</v>
      </c>
      <c r="E6" s="24">
        <f>SUM(E5)</f>
        <v>0</v>
      </c>
    </row>
    <row r="7" spans="1:120" ht="15">
      <c r="A7" s="141" t="s">
        <v>209</v>
      </c>
      <c r="B7" s="229" t="s">
        <v>209</v>
      </c>
      <c r="C7" s="141" t="s">
        <v>209</v>
      </c>
      <c r="D7" s="141" t="s">
        <v>209</v>
      </c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</row>
    <row r="8" spans="2:11" ht="15.75">
      <c r="B8" s="427" t="s">
        <v>233</v>
      </c>
      <c r="C8" s="427"/>
      <c r="D8" s="427"/>
      <c r="E8" s="427"/>
      <c r="F8" s="173"/>
      <c r="G8" s="173"/>
      <c r="H8" s="173"/>
      <c r="I8" s="173"/>
      <c r="J8" s="173"/>
      <c r="K8" s="173"/>
    </row>
    <row r="9" ht="15">
      <c r="J9" s="17" t="s">
        <v>1</v>
      </c>
    </row>
    <row r="10" spans="2:10" ht="45" customHeight="1">
      <c r="B10" s="430" t="s">
        <v>112</v>
      </c>
      <c r="C10" s="430" t="s">
        <v>19</v>
      </c>
      <c r="D10" s="433" t="s">
        <v>423</v>
      </c>
      <c r="E10" s="434"/>
      <c r="F10" s="434"/>
      <c r="G10" s="434"/>
      <c r="H10" s="434"/>
      <c r="I10" s="435"/>
      <c r="J10" s="430" t="s">
        <v>118</v>
      </c>
    </row>
    <row r="11" spans="2:10" ht="38.25" customHeight="1">
      <c r="B11" s="431"/>
      <c r="C11" s="431"/>
      <c r="D11" s="175" t="s">
        <v>127</v>
      </c>
      <c r="E11" s="175" t="s">
        <v>128</v>
      </c>
      <c r="F11" s="175" t="s">
        <v>129</v>
      </c>
      <c r="G11" s="175" t="s">
        <v>427</v>
      </c>
      <c r="H11" s="175" t="s">
        <v>429</v>
      </c>
      <c r="I11" s="175" t="s">
        <v>627</v>
      </c>
      <c r="J11" s="431"/>
    </row>
    <row r="12" spans="2:11" ht="18.75" customHeight="1">
      <c r="B12" s="238">
        <v>1</v>
      </c>
      <c r="C12" s="69" t="s">
        <v>130</v>
      </c>
      <c r="D12" s="217">
        <v>704086062.31</v>
      </c>
      <c r="E12" s="217">
        <v>3313848364.02</v>
      </c>
      <c r="F12" s="217">
        <v>3081701216.37</v>
      </c>
      <c r="G12" s="217">
        <v>2230498060.85</v>
      </c>
      <c r="H12" s="217">
        <v>406496973.3</v>
      </c>
      <c r="I12" s="217">
        <f>3242667788.8-20000998.65</f>
        <v>3222666790.15</v>
      </c>
      <c r="J12" s="218">
        <f aca="true" t="shared" si="0" ref="J12:J20">SUM(D12:I12)</f>
        <v>12959297466.999998</v>
      </c>
      <c r="K12" s="220"/>
    </row>
    <row r="13" spans="2:11" ht="18.75" customHeight="1">
      <c r="B13" s="238">
        <v>2</v>
      </c>
      <c r="C13" s="69" t="s">
        <v>131</v>
      </c>
      <c r="D13" s="71">
        <f>1032967162.77-0.36</f>
        <v>1032967162.41</v>
      </c>
      <c r="E13" s="71">
        <v>19128544986.59</v>
      </c>
      <c r="F13" s="71">
        <v>7257955801.7</v>
      </c>
      <c r="G13" s="71">
        <v>18979167956.05</v>
      </c>
      <c r="H13" s="71">
        <f>283201521.88</f>
        <v>283201521.88</v>
      </c>
      <c r="I13" s="71">
        <f>9127209689.03+20000998.65</f>
        <v>9147210687.68</v>
      </c>
      <c r="J13" s="72">
        <f t="shared" si="0"/>
        <v>55829048116.31</v>
      </c>
      <c r="K13" s="220"/>
    </row>
    <row r="14" spans="2:11" ht="18.75" customHeight="1">
      <c r="B14" s="238">
        <v>3</v>
      </c>
      <c r="C14" s="70" t="s">
        <v>424</v>
      </c>
      <c r="D14" s="71">
        <v>1314210292.74</v>
      </c>
      <c r="E14" s="71">
        <f>0.1+18345982211.52</f>
        <v>18345982211.62</v>
      </c>
      <c r="F14" s="71">
        <f>5709032752.73+5992.99</f>
        <v>5709038745.719999</v>
      </c>
      <c r="G14" s="71">
        <f>18302380998.51+758400690.28</f>
        <v>19060781688.789997</v>
      </c>
      <c r="H14" s="71">
        <f>397196825.92+134000936.55-10.09</f>
        <v>531197752.38000005</v>
      </c>
      <c r="I14" s="71">
        <v>8940556300.66</v>
      </c>
      <c r="J14" s="72">
        <f t="shared" si="0"/>
        <v>53901766991.90999</v>
      </c>
      <c r="K14" s="220"/>
    </row>
    <row r="15" spans="2:11" ht="15">
      <c r="B15" s="238">
        <v>4</v>
      </c>
      <c r="C15" s="69" t="s">
        <v>132</v>
      </c>
      <c r="D15" s="71">
        <f aca="true" t="shared" si="1" ref="D15:I15">+D12+D13-D14</f>
        <v>422842931.9799998</v>
      </c>
      <c r="E15" s="71">
        <f>+E12+E13-E14</f>
        <v>4096411138.9900017</v>
      </c>
      <c r="F15" s="71">
        <f t="shared" si="1"/>
        <v>4630618272.35</v>
      </c>
      <c r="G15" s="71">
        <f t="shared" si="1"/>
        <v>2148884328.1100006</v>
      </c>
      <c r="H15" s="71">
        <f t="shared" si="1"/>
        <v>158500742.8</v>
      </c>
      <c r="I15" s="71">
        <f t="shared" si="1"/>
        <v>3429321177.17</v>
      </c>
      <c r="J15" s="72">
        <f t="shared" si="0"/>
        <v>14886578591.400002</v>
      </c>
      <c r="K15" s="220"/>
    </row>
    <row r="16" spans="2:11" ht="15">
      <c r="B16" s="238">
        <v>5</v>
      </c>
      <c r="C16" s="69" t="s">
        <v>133</v>
      </c>
      <c r="D16" s="71"/>
      <c r="E16" s="71"/>
      <c r="F16" s="71"/>
      <c r="G16" s="71"/>
      <c r="H16" s="71"/>
      <c r="I16" s="71"/>
      <c r="J16" s="72">
        <f t="shared" si="0"/>
        <v>0</v>
      </c>
      <c r="K16" s="220"/>
    </row>
    <row r="17" spans="2:11" ht="15">
      <c r="B17" s="238">
        <v>6</v>
      </c>
      <c r="C17" s="69" t="s">
        <v>134</v>
      </c>
      <c r="D17" s="71"/>
      <c r="E17" s="71"/>
      <c r="F17" s="71"/>
      <c r="G17" s="71"/>
      <c r="H17" s="71"/>
      <c r="I17" s="71"/>
      <c r="J17" s="72">
        <f t="shared" si="0"/>
        <v>0</v>
      </c>
      <c r="K17" s="220"/>
    </row>
    <row r="18" spans="2:10" ht="15">
      <c r="B18" s="238">
        <v>7</v>
      </c>
      <c r="C18" s="69" t="s">
        <v>425</v>
      </c>
      <c r="D18" s="71"/>
      <c r="E18" s="71"/>
      <c r="F18" s="71"/>
      <c r="G18" s="71"/>
      <c r="H18" s="71"/>
      <c r="I18" s="71"/>
      <c r="J18" s="72">
        <f t="shared" si="0"/>
        <v>0</v>
      </c>
    </row>
    <row r="19" spans="2:12" ht="15">
      <c r="B19" s="238">
        <v>7.1</v>
      </c>
      <c r="C19" s="69" t="s">
        <v>426</v>
      </c>
      <c r="D19" s="71">
        <f aca="true" t="shared" si="2" ref="D19:I19">+D12</f>
        <v>704086062.31</v>
      </c>
      <c r="E19" s="71">
        <f t="shared" si="2"/>
        <v>3313848364.02</v>
      </c>
      <c r="F19" s="71">
        <f t="shared" si="2"/>
        <v>3081701216.37</v>
      </c>
      <c r="G19" s="71">
        <f t="shared" si="2"/>
        <v>2230498060.85</v>
      </c>
      <c r="H19" s="71">
        <f t="shared" si="2"/>
        <v>406496973.3</v>
      </c>
      <c r="I19" s="71">
        <f t="shared" si="2"/>
        <v>3222666790.15</v>
      </c>
      <c r="J19" s="72">
        <f t="shared" si="0"/>
        <v>12959297466.999998</v>
      </c>
      <c r="K19" s="67"/>
      <c r="L19" s="67"/>
    </row>
    <row r="20" spans="2:12" ht="15.75">
      <c r="B20" s="176">
        <v>7.2</v>
      </c>
      <c r="C20" s="74" t="s">
        <v>121</v>
      </c>
      <c r="D20" s="74">
        <f aca="true" t="shared" si="3" ref="D20:I20">+D12+D13-D14</f>
        <v>422842931.9799998</v>
      </c>
      <c r="E20" s="74">
        <f t="shared" si="3"/>
        <v>4096411138.9900017</v>
      </c>
      <c r="F20" s="74">
        <f t="shared" si="3"/>
        <v>4630618272.35</v>
      </c>
      <c r="G20" s="74">
        <f t="shared" si="3"/>
        <v>2148884328.1100006</v>
      </c>
      <c r="H20" s="74">
        <f t="shared" si="3"/>
        <v>158500742.8</v>
      </c>
      <c r="I20" s="74">
        <f t="shared" si="3"/>
        <v>3429321177.17</v>
      </c>
      <c r="J20" s="72">
        <f t="shared" si="0"/>
        <v>14886578591.400002</v>
      </c>
      <c r="K20" s="67"/>
      <c r="L20" s="159"/>
    </row>
    <row r="21" spans="2:11" s="215" customFormat="1" ht="15">
      <c r="B21" s="239" t="s">
        <v>209</v>
      </c>
      <c r="D21" s="216">
        <f>+'[11]CT-01'!$Y$20</f>
        <v>422842931.98</v>
      </c>
      <c r="E21" s="216">
        <f>+'[11]CT-01'!$Y$22</f>
        <v>4096411138.9899993</v>
      </c>
      <c r="F21" s="216">
        <f>+'[11]CT-01'!$Y$27</f>
        <v>4630618272.349999</v>
      </c>
      <c r="G21" s="216">
        <f>+'[11]CT-01'!$Y$21</f>
        <v>2148884328.11</v>
      </c>
      <c r="H21" s="216">
        <v>158500742.8</v>
      </c>
      <c r="I21" s="216">
        <f>+'[11]CT-01'!$Y$25+'[11]CT-01'!$Y$24</f>
        <v>2003409229.1000001</v>
      </c>
      <c r="J21" s="216">
        <f>+'[11]CT-01'!$Y$18</f>
        <v>1425911948.0600002</v>
      </c>
      <c r="K21" s="216">
        <f>+'balance sheet'!E13</f>
        <v>15879981251.2</v>
      </c>
    </row>
    <row r="22" spans="2:11" s="215" customFormat="1" ht="15">
      <c r="B22" s="239"/>
      <c r="D22" s="216">
        <f aca="true" t="shared" si="4" ref="D22:I22">+D21-D20</f>
        <v>0</v>
      </c>
      <c r="E22" s="216">
        <f t="shared" si="4"/>
        <v>0</v>
      </c>
      <c r="F22" s="216">
        <f t="shared" si="4"/>
        <v>0</v>
      </c>
      <c r="G22" s="216">
        <f t="shared" si="4"/>
        <v>0</v>
      </c>
      <c r="H22" s="216">
        <f t="shared" si="4"/>
        <v>0</v>
      </c>
      <c r="I22" s="216">
        <f t="shared" si="4"/>
        <v>-1425911948.07</v>
      </c>
      <c r="J22" s="216" t="e">
        <f>+J21-#REF!</f>
        <v>#REF!</v>
      </c>
      <c r="K22" s="216">
        <f>+K21-J20</f>
        <v>993402659.7999992</v>
      </c>
    </row>
    <row r="23" spans="2:11" s="181" customFormat="1" ht="15">
      <c r="B23" s="231"/>
      <c r="D23" s="67"/>
      <c r="K23" s="67"/>
    </row>
    <row r="24" spans="2:11" ht="15.75">
      <c r="B24" s="237" t="s">
        <v>235</v>
      </c>
      <c r="C24" s="237"/>
      <c r="D24" s="173"/>
      <c r="E24" s="173"/>
      <c r="F24" s="173"/>
      <c r="G24" s="173"/>
      <c r="H24" s="173"/>
      <c r="I24" s="173"/>
      <c r="J24" s="173"/>
      <c r="K24" s="177"/>
    </row>
    <row r="25" ht="15">
      <c r="E25" s="17" t="s">
        <v>1</v>
      </c>
    </row>
    <row r="26" spans="2:6" ht="30">
      <c r="B26" s="23" t="s">
        <v>112</v>
      </c>
      <c r="C26" s="23" t="s">
        <v>19</v>
      </c>
      <c r="D26" s="23" t="s">
        <v>121</v>
      </c>
      <c r="E26" s="23" t="s">
        <v>121</v>
      </c>
      <c r="F26" s="220"/>
    </row>
    <row r="27" spans="2:6" ht="15">
      <c r="B27" s="230" t="s">
        <v>212</v>
      </c>
      <c r="C27" s="19" t="s">
        <v>135</v>
      </c>
      <c r="D27" s="24">
        <f>+'balance sheet'!D14</f>
        <v>310034834.74</v>
      </c>
      <c r="E27" s="24">
        <f>+'balance sheet'!E14</f>
        <v>2328915337.565509</v>
      </c>
      <c r="F27" s="220"/>
    </row>
    <row r="28" spans="2:6" ht="30">
      <c r="B28" s="230" t="s">
        <v>213</v>
      </c>
      <c r="C28" s="19" t="s">
        <v>136</v>
      </c>
      <c r="D28" s="24">
        <v>0</v>
      </c>
      <c r="E28" s="24">
        <v>0</v>
      </c>
      <c r="F28" s="220"/>
    </row>
    <row r="29" spans="2:6" ht="30">
      <c r="B29" s="230" t="s">
        <v>236</v>
      </c>
      <c r="C29" s="19" t="s">
        <v>137</v>
      </c>
      <c r="D29" s="24">
        <v>0</v>
      </c>
      <c r="E29" s="24">
        <v>0</v>
      </c>
      <c r="F29" s="220"/>
    </row>
    <row r="30" spans="2:6" ht="15">
      <c r="B30" s="230" t="s">
        <v>215</v>
      </c>
      <c r="C30" s="19"/>
      <c r="D30" s="24">
        <v>0</v>
      </c>
      <c r="E30" s="24">
        <v>0</v>
      </c>
      <c r="F30" s="220"/>
    </row>
    <row r="31" spans="2:6" ht="15">
      <c r="B31" s="230" t="s">
        <v>209</v>
      </c>
      <c r="C31" s="25" t="s">
        <v>118</v>
      </c>
      <c r="D31" s="24">
        <f>SUM(D27:D30)</f>
        <v>310034834.74</v>
      </c>
      <c r="E31" s="24">
        <f>SUM(E27:E30)</f>
        <v>2328915337.565509</v>
      </c>
      <c r="F31" s="220"/>
    </row>
    <row r="32" spans="1:120" ht="15">
      <c r="A32" s="141" t="s">
        <v>209</v>
      </c>
      <c r="B32" s="229" t="s">
        <v>209</v>
      </c>
      <c r="C32" s="141" t="s">
        <v>209</v>
      </c>
      <c r="D32" s="141" t="s">
        <v>209</v>
      </c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</row>
    <row r="34" spans="1:256" ht="15">
      <c r="A34" s="18"/>
      <c r="B34" s="240"/>
      <c r="C34" s="18" t="s">
        <v>418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256" ht="15">
      <c r="A35" s="18"/>
      <c r="B35" s="24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</row>
    <row r="36" spans="1:256" ht="15">
      <c r="A36" s="18"/>
      <c r="B36" s="240"/>
      <c r="C36" s="18" t="s">
        <v>419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</row>
  </sheetData>
  <sheetProtection/>
  <mergeCells count="9">
    <mergeCell ref="BP32:DP32"/>
    <mergeCell ref="C10:C11"/>
    <mergeCell ref="J10:J11"/>
    <mergeCell ref="B2:D2"/>
    <mergeCell ref="A1:C1"/>
    <mergeCell ref="B8:E8"/>
    <mergeCell ref="D10:I10"/>
    <mergeCell ref="B10:B11"/>
    <mergeCell ref="BP7:DP7"/>
  </mergeCells>
  <printOptions/>
  <pageMargins left="0" right="0" top="0.37" bottom="0" header="0.31496062992126" footer="0.15748031496063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P42"/>
  <sheetViews>
    <sheetView zoomScalePageLayoutView="0" workbookViewId="0" topLeftCell="A1">
      <pane xSplit="3" ySplit="4" topLeftCell="F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1" sqref="D31:J31"/>
    </sheetView>
  </sheetViews>
  <sheetFormatPr defaultColWidth="9.140625" defaultRowHeight="15"/>
  <cols>
    <col min="1" max="1" width="2.140625" style="141" customWidth="1"/>
    <col min="2" max="2" width="6.421875" style="141" customWidth="1"/>
    <col min="3" max="3" width="42.421875" style="141" customWidth="1"/>
    <col min="4" max="4" width="14.7109375" style="141" customWidth="1"/>
    <col min="5" max="5" width="19.28125" style="141" customWidth="1"/>
    <col min="6" max="6" width="16.421875" style="141" customWidth="1"/>
    <col min="7" max="7" width="19.28125" style="141" customWidth="1"/>
    <col min="8" max="8" width="16.28125" style="141" customWidth="1"/>
    <col min="9" max="9" width="14.421875" style="141" customWidth="1"/>
    <col min="10" max="21" width="17.421875" style="141" customWidth="1"/>
    <col min="22" max="16384" width="11.421875" style="141" customWidth="1"/>
  </cols>
  <sheetData>
    <row r="1" ht="15.75">
      <c r="B1" s="21" t="s">
        <v>445</v>
      </c>
    </row>
    <row r="2" spans="2:11" ht="15.75">
      <c r="B2" s="172" t="s">
        <v>237</v>
      </c>
      <c r="C2" s="173"/>
      <c r="D2" s="173"/>
      <c r="E2" s="173"/>
      <c r="F2" s="173"/>
      <c r="G2" s="173"/>
      <c r="H2" s="173"/>
      <c r="I2" s="173"/>
      <c r="J2" s="173"/>
      <c r="K2" s="173"/>
    </row>
    <row r="3" ht="15.75" thickBot="1">
      <c r="K3" s="22" t="s">
        <v>211</v>
      </c>
    </row>
    <row r="4" spans="2:11" ht="45.75" thickBot="1">
      <c r="B4" s="186" t="s">
        <v>112</v>
      </c>
      <c r="C4" s="186" t="s">
        <v>19</v>
      </c>
      <c r="D4" s="186" t="s">
        <v>138</v>
      </c>
      <c r="E4" s="186" t="s">
        <v>431</v>
      </c>
      <c r="F4" s="186" t="s">
        <v>432</v>
      </c>
      <c r="G4" s="186" t="s">
        <v>139</v>
      </c>
      <c r="H4" s="186" t="s">
        <v>140</v>
      </c>
      <c r="I4" s="186" t="s">
        <v>141</v>
      </c>
      <c r="J4" s="186" t="s">
        <v>142</v>
      </c>
      <c r="K4" s="186" t="s">
        <v>118</v>
      </c>
    </row>
    <row r="5" spans="2:11" ht="18" customHeight="1" thickBot="1">
      <c r="B5" s="187"/>
      <c r="C5" s="188"/>
      <c r="D5" s="189"/>
      <c r="E5" s="189"/>
      <c r="F5" s="189"/>
      <c r="G5" s="189"/>
      <c r="H5" s="189"/>
      <c r="I5" s="189"/>
      <c r="J5" s="189" t="s">
        <v>433</v>
      </c>
      <c r="K5" s="189"/>
    </row>
    <row r="6" spans="2:11" ht="18" customHeight="1" thickBot="1">
      <c r="B6" s="187">
        <v>1</v>
      </c>
      <c r="C6" s="188" t="s">
        <v>143</v>
      </c>
      <c r="D6" s="189"/>
      <c r="E6" s="190"/>
      <c r="F6" s="190"/>
      <c r="G6" s="190"/>
      <c r="H6" s="190"/>
      <c r="I6" s="190"/>
      <c r="J6" s="190"/>
      <c r="K6" s="190"/>
    </row>
    <row r="7" spans="2:11" ht="18" customHeight="1" thickBot="1">
      <c r="B7" s="191">
        <v>1.1</v>
      </c>
      <c r="C7" s="191" t="s">
        <v>114</v>
      </c>
      <c r="D7" s="192">
        <v>255535910.49</v>
      </c>
      <c r="E7" s="193">
        <v>25873285237.77</v>
      </c>
      <c r="F7" s="194">
        <v>8574534604.59</v>
      </c>
      <c r="G7" s="195">
        <v>82702557</v>
      </c>
      <c r="H7" s="195">
        <v>424731116.95</v>
      </c>
      <c r="I7" s="195">
        <f>128119853.96+1315439.89</f>
        <v>129435293.85</v>
      </c>
      <c r="J7" s="195">
        <v>49140564.7</v>
      </c>
      <c r="K7" s="196">
        <f aca="true" t="shared" si="0" ref="K7:K19">SUM(D7:J7)</f>
        <v>35389365285.35</v>
      </c>
    </row>
    <row r="8" spans="2:11" ht="18" customHeight="1" thickBot="1">
      <c r="B8" s="212">
        <v>1.2</v>
      </c>
      <c r="C8" s="212" t="s">
        <v>131</v>
      </c>
      <c r="D8" s="192">
        <f>+D9+D10+D11+D12</f>
        <v>0</v>
      </c>
      <c r="E8" s="192">
        <f aca="true" t="shared" si="1" ref="E8:J8">+E9+E10+E11+E12</f>
        <v>715941502.24</v>
      </c>
      <c r="F8" s="192">
        <f t="shared" si="1"/>
        <v>284386588.12</v>
      </c>
      <c r="G8" s="192">
        <f t="shared" si="1"/>
        <v>15340000</v>
      </c>
      <c r="H8" s="192">
        <f t="shared" si="1"/>
        <v>49753540.65</v>
      </c>
      <c r="I8" s="192">
        <f t="shared" si="1"/>
        <v>3749895.7</v>
      </c>
      <c r="J8" s="192">
        <f t="shared" si="1"/>
        <v>7624898.62</v>
      </c>
      <c r="K8" s="196">
        <f>SUM(D8:J8)</f>
        <v>1076796425.33</v>
      </c>
    </row>
    <row r="9" spans="2:11" ht="18" customHeight="1" thickBot="1">
      <c r="B9" s="212">
        <v>1.3</v>
      </c>
      <c r="C9" s="212" t="s">
        <v>144</v>
      </c>
      <c r="D9" s="192"/>
      <c r="E9" s="193"/>
      <c r="F9" s="194"/>
      <c r="G9" s="194"/>
      <c r="H9" s="194"/>
      <c r="I9" s="194"/>
      <c r="J9" s="194"/>
      <c r="K9" s="196">
        <f t="shared" si="0"/>
        <v>0</v>
      </c>
    </row>
    <row r="10" spans="2:11" ht="18" customHeight="1" thickBot="1">
      <c r="B10" s="212">
        <v>1.4</v>
      </c>
      <c r="C10" s="212" t="s">
        <v>145</v>
      </c>
      <c r="D10" s="192"/>
      <c r="E10" s="193">
        <v>715941502.24</v>
      </c>
      <c r="F10" s="197">
        <v>270338782.58</v>
      </c>
      <c r="G10" s="194">
        <v>15340000</v>
      </c>
      <c r="H10" s="198">
        <v>45248199.76</v>
      </c>
      <c r="I10" s="198">
        <f>3182799.89+567095.81</f>
        <v>3749895.7</v>
      </c>
      <c r="J10" s="194">
        <v>4655477.88</v>
      </c>
      <c r="K10" s="196">
        <f t="shared" si="0"/>
        <v>1055273858.16</v>
      </c>
    </row>
    <row r="11" spans="2:11" ht="18" customHeight="1" thickBot="1">
      <c r="B11" s="212">
        <v>1.5</v>
      </c>
      <c r="C11" s="212" t="s">
        <v>434</v>
      </c>
      <c r="D11" s="192"/>
      <c r="E11" s="193"/>
      <c r="F11" s="194">
        <v>14047805.54</v>
      </c>
      <c r="G11" s="194"/>
      <c r="H11" s="194">
        <v>4505340.89</v>
      </c>
      <c r="I11" s="194"/>
      <c r="J11" s="194">
        <v>2969420.74</v>
      </c>
      <c r="K11" s="196">
        <f t="shared" si="0"/>
        <v>21522567.17</v>
      </c>
    </row>
    <row r="12" spans="2:11" ht="18" customHeight="1" thickBot="1">
      <c r="B12" s="187">
        <v>2.1</v>
      </c>
      <c r="C12" s="191" t="s">
        <v>147</v>
      </c>
      <c r="D12" s="192"/>
      <c r="E12" s="193"/>
      <c r="F12" s="194"/>
      <c r="G12" s="194"/>
      <c r="H12" s="194"/>
      <c r="I12" s="194"/>
      <c r="J12" s="194"/>
      <c r="K12" s="196">
        <f t="shared" si="0"/>
        <v>0</v>
      </c>
    </row>
    <row r="13" spans="2:11" ht="18" customHeight="1" thickBot="1">
      <c r="B13" s="187">
        <v>2.2</v>
      </c>
      <c r="C13" s="187" t="s">
        <v>424</v>
      </c>
      <c r="D13" s="193">
        <f>+D14+D15+D16+D17+D18</f>
        <v>0</v>
      </c>
      <c r="E13" s="193">
        <f aca="true" t="shared" si="2" ref="E13:J13">+E14+E15+E16+E17+E18</f>
        <v>12144255</v>
      </c>
      <c r="F13" s="193">
        <f t="shared" si="2"/>
        <v>79581692.13</v>
      </c>
      <c r="G13" s="193">
        <f t="shared" si="2"/>
        <v>22808757</v>
      </c>
      <c r="H13" s="193">
        <f t="shared" si="2"/>
        <v>2016646.98</v>
      </c>
      <c r="I13" s="193">
        <f t="shared" si="2"/>
        <v>1591693.8</v>
      </c>
      <c r="J13" s="193">
        <f t="shared" si="2"/>
        <v>455704.5</v>
      </c>
      <c r="K13" s="196">
        <f>SUM(D13:J13)</f>
        <v>118598749.41</v>
      </c>
    </row>
    <row r="14" spans="2:11" ht="18" customHeight="1" thickBot="1">
      <c r="B14" s="187">
        <v>2.3</v>
      </c>
      <c r="C14" s="187" t="s">
        <v>148</v>
      </c>
      <c r="D14" s="192"/>
      <c r="E14" s="193">
        <v>8398800</v>
      </c>
      <c r="F14" s="194">
        <v>75313000</v>
      </c>
      <c r="G14" s="194">
        <v>8000000</v>
      </c>
      <c r="H14" s="194">
        <v>739320.89</v>
      </c>
      <c r="I14" s="194">
        <v>927101.8</v>
      </c>
      <c r="J14" s="194">
        <v>455704.5</v>
      </c>
      <c r="K14" s="196">
        <f>SUM(D14:J14)</f>
        <v>93833927.19</v>
      </c>
    </row>
    <row r="15" spans="2:11" ht="18" customHeight="1" thickBot="1">
      <c r="B15" s="187">
        <v>2.4</v>
      </c>
      <c r="C15" s="187" t="s">
        <v>435</v>
      </c>
      <c r="D15" s="192"/>
      <c r="E15" s="193"/>
      <c r="F15" s="194"/>
      <c r="G15" s="194"/>
      <c r="H15" s="194"/>
      <c r="I15" s="194"/>
      <c r="J15" s="194"/>
      <c r="K15" s="196">
        <f t="shared" si="0"/>
        <v>0</v>
      </c>
    </row>
    <row r="16" spans="2:11" ht="18" customHeight="1" thickBot="1">
      <c r="B16" s="187">
        <v>2.5</v>
      </c>
      <c r="C16" s="187" t="s">
        <v>149</v>
      </c>
      <c r="D16" s="192"/>
      <c r="E16" s="193"/>
      <c r="F16" s="194"/>
      <c r="G16" s="194"/>
      <c r="H16" s="194"/>
      <c r="I16" s="194"/>
      <c r="J16" s="194"/>
      <c r="K16" s="196">
        <f t="shared" si="0"/>
        <v>0</v>
      </c>
    </row>
    <row r="17" spans="2:11" ht="18" customHeight="1" thickBot="1">
      <c r="B17" s="187">
        <v>2.6</v>
      </c>
      <c r="C17" s="187" t="s">
        <v>434</v>
      </c>
      <c r="D17" s="192"/>
      <c r="E17" s="193">
        <v>3745455</v>
      </c>
      <c r="F17" s="194">
        <v>4268692.13</v>
      </c>
      <c r="G17" s="198">
        <v>14808757</v>
      </c>
      <c r="H17" s="194">
        <v>1277326.09</v>
      </c>
      <c r="I17" s="194">
        <v>664592</v>
      </c>
      <c r="J17" s="194"/>
      <c r="K17" s="196">
        <f t="shared" si="0"/>
        <v>24764822.22</v>
      </c>
    </row>
    <row r="18" spans="2:11" ht="18" customHeight="1" thickBot="1">
      <c r="B18" s="187">
        <v>2.7</v>
      </c>
      <c r="C18" s="199" t="s">
        <v>150</v>
      </c>
      <c r="D18" s="192"/>
      <c r="E18" s="193"/>
      <c r="F18" s="194"/>
      <c r="G18" s="194"/>
      <c r="H18" s="198"/>
      <c r="I18" s="194"/>
      <c r="J18" s="194"/>
      <c r="K18" s="196">
        <f t="shared" si="0"/>
        <v>0</v>
      </c>
    </row>
    <row r="19" spans="2:11" ht="18" customHeight="1" thickBot="1">
      <c r="B19" s="187">
        <v>2.8</v>
      </c>
      <c r="C19" s="200" t="s">
        <v>437</v>
      </c>
      <c r="D19" s="192"/>
      <c r="E19" s="193"/>
      <c r="F19" s="194"/>
      <c r="G19" s="194"/>
      <c r="H19" s="198"/>
      <c r="I19" s="194"/>
      <c r="J19" s="194"/>
      <c r="K19" s="196">
        <f t="shared" si="0"/>
        <v>0</v>
      </c>
    </row>
    <row r="20" spans="2:12" ht="21" customHeight="1" thickBot="1">
      <c r="B20" s="187"/>
      <c r="C20" s="188" t="s">
        <v>121</v>
      </c>
      <c r="D20" s="193">
        <f>+D7+D8-D13</f>
        <v>255535910.49</v>
      </c>
      <c r="E20" s="193">
        <f>+E7+E8-E13</f>
        <v>26577082485.010002</v>
      </c>
      <c r="F20" s="194">
        <f>+F7+F8-F13</f>
        <v>8779339500.580002</v>
      </c>
      <c r="G20" s="194">
        <f>+G7+G8-G13</f>
        <v>75233800</v>
      </c>
      <c r="H20" s="194">
        <f>+H7+H8-H13-H19</f>
        <v>472468010.61999995</v>
      </c>
      <c r="I20" s="194">
        <f>+I7+I8-I13-I19</f>
        <v>131593495.75</v>
      </c>
      <c r="J20" s="194">
        <f>+J7+J8-J13</f>
        <v>56309758.82</v>
      </c>
      <c r="K20" s="196">
        <f>SUM(D20:J20)</f>
        <v>36347562961.270004</v>
      </c>
      <c r="L20" s="67">
        <f>+K20-K13</f>
        <v>36228964211.86</v>
      </c>
    </row>
    <row r="21" spans="2:11" ht="18" customHeight="1" thickBot="1">
      <c r="B21" s="212">
        <v>3.1</v>
      </c>
      <c r="C21" s="187" t="s">
        <v>151</v>
      </c>
      <c r="D21" s="201"/>
      <c r="E21" s="202"/>
      <c r="F21" s="203"/>
      <c r="G21" s="203"/>
      <c r="H21" s="204"/>
      <c r="I21" s="204"/>
      <c r="J21" s="204"/>
      <c r="K21" s="196"/>
    </row>
    <row r="22" spans="2:11" ht="18" customHeight="1" thickBot="1">
      <c r="B22" s="212">
        <v>3.2</v>
      </c>
      <c r="C22" s="205" t="s">
        <v>426</v>
      </c>
      <c r="D22" s="192">
        <v>35666281.47</v>
      </c>
      <c r="E22" s="193">
        <v>3022999953.14</v>
      </c>
      <c r="F22" s="194">
        <v>3591141696.3</v>
      </c>
      <c r="G22" s="194">
        <v>40968623.78</v>
      </c>
      <c r="H22" s="195">
        <v>251079830.95</v>
      </c>
      <c r="I22" s="195">
        <v>67350010.58</v>
      </c>
      <c r="J22" s="195">
        <v>23975761.13</v>
      </c>
      <c r="K22" s="196">
        <f>SUM(D22:J22)</f>
        <v>7033182157.349999</v>
      </c>
    </row>
    <row r="23" spans="2:11" ht="18" customHeight="1" thickBot="1">
      <c r="B23" s="212">
        <v>3.3</v>
      </c>
      <c r="C23" s="212" t="s">
        <v>131</v>
      </c>
      <c r="D23" s="192">
        <f>+D24+D25</f>
        <v>7485218</v>
      </c>
      <c r="E23" s="192">
        <f aca="true" t="shared" si="3" ref="E23:J23">+E24+E25</f>
        <v>532253035</v>
      </c>
      <c r="F23" s="192">
        <f t="shared" si="3"/>
        <v>775369466</v>
      </c>
      <c r="G23" s="192">
        <f t="shared" si="3"/>
        <v>11648977.04</v>
      </c>
      <c r="H23" s="192">
        <f t="shared" si="3"/>
        <v>45663781.06</v>
      </c>
      <c r="I23" s="192">
        <f t="shared" si="3"/>
        <v>26192447.3</v>
      </c>
      <c r="J23" s="192">
        <f t="shared" si="3"/>
        <v>14957253.69</v>
      </c>
      <c r="K23" s="196">
        <f aca="true" t="shared" si="4" ref="K23:K32">SUM(D23:J23)</f>
        <v>1413570178.09</v>
      </c>
    </row>
    <row r="24" spans="2:11" ht="18" customHeight="1" thickBot="1">
      <c r="B24" s="212">
        <v>3.4</v>
      </c>
      <c r="C24" s="212" t="s">
        <v>438</v>
      </c>
      <c r="D24" s="192">
        <v>7485218</v>
      </c>
      <c r="E24" s="206">
        <v>532253035</v>
      </c>
      <c r="F24" s="207">
        <v>775369466</v>
      </c>
      <c r="G24" s="192">
        <v>11648977.04</v>
      </c>
      <c r="H24" s="208">
        <v>45663781.06</v>
      </c>
      <c r="I24" s="207">
        <v>26192447.3</v>
      </c>
      <c r="J24" s="192">
        <v>14957253.69</v>
      </c>
      <c r="K24" s="196">
        <f t="shared" si="4"/>
        <v>1413570178.09</v>
      </c>
    </row>
    <row r="25" spans="2:11" ht="18" customHeight="1" thickBot="1">
      <c r="B25" s="212">
        <v>3.5</v>
      </c>
      <c r="C25" s="187" t="s">
        <v>439</v>
      </c>
      <c r="D25" s="192"/>
      <c r="E25" s="208"/>
      <c r="F25" s="192"/>
      <c r="G25" s="192"/>
      <c r="H25" s="192"/>
      <c r="I25" s="192"/>
      <c r="J25" s="192"/>
      <c r="K25" s="196">
        <f t="shared" si="4"/>
        <v>0</v>
      </c>
    </row>
    <row r="26" spans="2:11" ht="18" customHeight="1" thickBot="1">
      <c r="B26" s="212"/>
      <c r="C26" s="214" t="s">
        <v>437</v>
      </c>
      <c r="D26" s="192"/>
      <c r="E26" s="208"/>
      <c r="F26" s="192"/>
      <c r="G26" s="192"/>
      <c r="H26" s="192"/>
      <c r="I26" s="192"/>
      <c r="J26" s="192"/>
      <c r="K26" s="196">
        <f t="shared" si="4"/>
        <v>0</v>
      </c>
    </row>
    <row r="27" spans="2:11" ht="18" customHeight="1" thickBot="1">
      <c r="B27" s="212">
        <v>4.1</v>
      </c>
      <c r="C27" s="187" t="s">
        <v>152</v>
      </c>
      <c r="D27" s="192">
        <f>SUM(D28:D30)</f>
        <v>0</v>
      </c>
      <c r="E27" s="192">
        <f aca="true" t="shared" si="5" ref="E27:J27">SUM(E28:E30)</f>
        <v>2530346.76</v>
      </c>
      <c r="F27" s="192">
        <f t="shared" si="5"/>
        <v>51202466.43</v>
      </c>
      <c r="G27" s="192">
        <f t="shared" si="5"/>
        <v>11331970.33</v>
      </c>
      <c r="H27" s="192">
        <f t="shared" si="5"/>
        <v>840286.09</v>
      </c>
      <c r="I27" s="192">
        <f t="shared" si="5"/>
        <v>1591693.8</v>
      </c>
      <c r="J27" s="192">
        <f t="shared" si="5"/>
        <v>0</v>
      </c>
      <c r="K27" s="196">
        <f t="shared" si="4"/>
        <v>67496763.41</v>
      </c>
    </row>
    <row r="28" spans="2:11" ht="18" customHeight="1" thickBot="1">
      <c r="B28" s="187">
        <v>4.2</v>
      </c>
      <c r="C28" s="187" t="s">
        <v>440</v>
      </c>
      <c r="D28" s="192"/>
      <c r="E28" s="208">
        <v>2530346.76</v>
      </c>
      <c r="F28" s="192">
        <v>51202466.43</v>
      </c>
      <c r="G28" s="192">
        <v>11331970.33</v>
      </c>
      <c r="H28" s="208">
        <v>840286.09</v>
      </c>
      <c r="I28" s="192">
        <v>1591693.8</v>
      </c>
      <c r="J28" s="192"/>
      <c r="K28" s="196">
        <f t="shared" si="4"/>
        <v>67496763.41</v>
      </c>
    </row>
    <row r="29" spans="2:11" ht="18" customHeight="1" thickBot="1">
      <c r="B29" s="212">
        <v>4.3</v>
      </c>
      <c r="C29" s="187" t="s">
        <v>441</v>
      </c>
      <c r="D29" s="192"/>
      <c r="E29" s="208"/>
      <c r="F29" s="192"/>
      <c r="G29" s="192"/>
      <c r="H29" s="192"/>
      <c r="I29" s="192"/>
      <c r="J29" s="192"/>
      <c r="K29" s="196">
        <f t="shared" si="4"/>
        <v>0</v>
      </c>
    </row>
    <row r="30" spans="2:11" ht="18" customHeight="1" thickBot="1">
      <c r="B30" s="187">
        <v>4.4</v>
      </c>
      <c r="C30" s="213" t="s">
        <v>436</v>
      </c>
      <c r="D30" s="192"/>
      <c r="E30" s="208"/>
      <c r="F30" s="192"/>
      <c r="G30" s="192"/>
      <c r="H30" s="192"/>
      <c r="I30" s="192"/>
      <c r="J30" s="192"/>
      <c r="K30" s="196">
        <f t="shared" si="4"/>
        <v>0</v>
      </c>
    </row>
    <row r="31" spans="2:11" ht="18" customHeight="1" thickBot="1">
      <c r="B31" s="187"/>
      <c r="C31" s="188" t="s">
        <v>121</v>
      </c>
      <c r="D31" s="192">
        <f aca="true" t="shared" si="6" ref="D31:J31">+D22+D23-D27</f>
        <v>43151499.47</v>
      </c>
      <c r="E31" s="208">
        <f t="shared" si="6"/>
        <v>3552722641.3799996</v>
      </c>
      <c r="F31" s="208">
        <f t="shared" si="6"/>
        <v>4315308695.87</v>
      </c>
      <c r="G31" s="208">
        <f t="shared" si="6"/>
        <v>41285630.49</v>
      </c>
      <c r="H31" s="208">
        <f t="shared" si="6"/>
        <v>295903325.92</v>
      </c>
      <c r="I31" s="208">
        <f t="shared" si="6"/>
        <v>91950764.08</v>
      </c>
      <c r="J31" s="208">
        <f t="shared" si="6"/>
        <v>38933014.82</v>
      </c>
      <c r="K31" s="196">
        <f>SUM(D31:J31)</f>
        <v>8379255572.029999</v>
      </c>
    </row>
    <row r="32" spans="2:11" ht="18" customHeight="1" thickBot="1">
      <c r="B32" s="187"/>
      <c r="C32" s="187" t="s">
        <v>442</v>
      </c>
      <c r="D32" s="192"/>
      <c r="E32" s="193"/>
      <c r="F32" s="194"/>
      <c r="G32" s="194"/>
      <c r="H32" s="195"/>
      <c r="I32" s="195"/>
      <c r="J32" s="195"/>
      <c r="K32" s="196">
        <f t="shared" si="4"/>
        <v>0</v>
      </c>
    </row>
    <row r="33" spans="2:13" ht="18" customHeight="1" thickBot="1">
      <c r="B33" s="187"/>
      <c r="C33" s="187" t="s">
        <v>443</v>
      </c>
      <c r="D33" s="192">
        <f>+D7-D22</f>
        <v>219869629.02</v>
      </c>
      <c r="E33" s="208">
        <f aca="true" t="shared" si="7" ref="E33:J33">+E7-E22</f>
        <v>22850285284.63</v>
      </c>
      <c r="F33" s="192">
        <f t="shared" si="7"/>
        <v>4983392908.29</v>
      </c>
      <c r="G33" s="192">
        <f t="shared" si="7"/>
        <v>41733933.22</v>
      </c>
      <c r="H33" s="192">
        <f t="shared" si="7"/>
        <v>173651286</v>
      </c>
      <c r="I33" s="192">
        <f t="shared" si="7"/>
        <v>62085283.269999996</v>
      </c>
      <c r="J33" s="192">
        <f t="shared" si="7"/>
        <v>25164803.570000004</v>
      </c>
      <c r="K33" s="196">
        <f>SUM(D33:J33)</f>
        <v>28356183128.000004</v>
      </c>
      <c r="L33" s="67">
        <f>+'balance sheet'!D20</f>
        <v>27968307389.24</v>
      </c>
      <c r="M33" s="67">
        <f>+L33-K33</f>
        <v>-387875738.76000214</v>
      </c>
    </row>
    <row r="34" spans="2:13" ht="16.5" thickBot="1">
      <c r="B34" s="209"/>
      <c r="C34" s="210" t="s">
        <v>444</v>
      </c>
      <c r="D34" s="195">
        <f aca="true" t="shared" si="8" ref="D34:J34">+D20-D31</f>
        <v>212384411.02</v>
      </c>
      <c r="E34" s="211">
        <f t="shared" si="8"/>
        <v>23024359843.63</v>
      </c>
      <c r="F34" s="195">
        <f t="shared" si="8"/>
        <v>4464030804.710002</v>
      </c>
      <c r="G34" s="195">
        <f t="shared" si="8"/>
        <v>33948169.51</v>
      </c>
      <c r="H34" s="195">
        <f t="shared" si="8"/>
        <v>176564684.69999993</v>
      </c>
      <c r="I34" s="195">
        <f t="shared" si="8"/>
        <v>39642731.67</v>
      </c>
      <c r="J34" s="195">
        <f t="shared" si="8"/>
        <v>17376744</v>
      </c>
      <c r="K34" s="196">
        <f>SUM(D34:J34)</f>
        <v>27968307389.24</v>
      </c>
      <c r="L34" s="67">
        <f>+'balance sheet'!E20</f>
        <v>34785322933.442894</v>
      </c>
      <c r="M34" s="67">
        <f>+K34-L34</f>
        <v>-6817015544.202892</v>
      </c>
    </row>
    <row r="35" spans="2:11" ht="15">
      <c r="B35" s="22" t="s">
        <v>209</v>
      </c>
      <c r="K35" s="185"/>
    </row>
    <row r="36" spans="1:120" ht="15">
      <c r="A36" s="141" t="s">
        <v>209</v>
      </c>
      <c r="B36" s="141" t="s">
        <v>209</v>
      </c>
      <c r="C36" s="141" t="s">
        <v>209</v>
      </c>
      <c r="D36" s="141" t="s">
        <v>209</v>
      </c>
      <c r="K36" s="185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</row>
    <row r="38" ht="15">
      <c r="E38" s="22"/>
    </row>
    <row r="40" ht="15">
      <c r="E40" s="18" t="s">
        <v>418</v>
      </c>
    </row>
    <row r="41" ht="15">
      <c r="E41" s="18"/>
    </row>
    <row r="42" ht="15">
      <c r="E42" s="18" t="s">
        <v>419</v>
      </c>
    </row>
  </sheetData>
  <sheetProtection/>
  <mergeCells count="1">
    <mergeCell ref="BP36:DP36"/>
  </mergeCells>
  <printOptions/>
  <pageMargins left="0.354330708661417" right="0.236220472440945" top="0.236220472440945" bottom="0" header="0.31496062992126" footer="0.15748031496063"/>
  <pageSetup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P45"/>
  <sheetViews>
    <sheetView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5" sqref="L5"/>
    </sheetView>
  </sheetViews>
  <sheetFormatPr defaultColWidth="9.140625" defaultRowHeight="15"/>
  <cols>
    <col min="1" max="1" width="2.140625" style="224" customWidth="1"/>
    <col min="2" max="2" width="6.421875" style="224" customWidth="1"/>
    <col min="3" max="3" width="42.421875" style="224" customWidth="1"/>
    <col min="4" max="4" width="16.00390625" style="224" bestFit="1" customWidth="1"/>
    <col min="5" max="5" width="19.28125" style="224" customWidth="1"/>
    <col min="6" max="6" width="16.421875" style="159" customWidth="1"/>
    <col min="7" max="7" width="19.28125" style="224" customWidth="1"/>
    <col min="8" max="8" width="16.28125" style="224" customWidth="1"/>
    <col min="9" max="9" width="14.421875" style="224" customWidth="1"/>
    <col min="10" max="10" width="17.421875" style="224" customWidth="1"/>
    <col min="11" max="11" width="18.7109375" style="224" bestFit="1" customWidth="1"/>
    <col min="12" max="21" width="17.421875" style="224" customWidth="1"/>
    <col min="22" max="16384" width="11.421875" style="224" customWidth="1"/>
  </cols>
  <sheetData>
    <row r="1" ht="15.75">
      <c r="B1" s="21" t="s">
        <v>445</v>
      </c>
    </row>
    <row r="2" spans="2:11" ht="15.75">
      <c r="B2" s="172" t="s">
        <v>237</v>
      </c>
      <c r="C2" s="173"/>
      <c r="D2" s="173"/>
      <c r="E2" s="173"/>
      <c r="F2" s="232"/>
      <c r="G2" s="173"/>
      <c r="H2" s="173"/>
      <c r="I2" s="173"/>
      <c r="J2" s="173"/>
      <c r="K2" s="173"/>
    </row>
    <row r="3" spans="5:11" ht="15.75" thickBot="1">
      <c r="E3" s="67">
        <f>+E7-E6</f>
        <v>0</v>
      </c>
      <c r="K3" s="22" t="s">
        <v>1</v>
      </c>
    </row>
    <row r="4" spans="2:11" ht="45.75" thickBot="1">
      <c r="B4" s="186" t="s">
        <v>112</v>
      </c>
      <c r="C4" s="186" t="s">
        <v>19</v>
      </c>
      <c r="D4" s="186" t="s">
        <v>138</v>
      </c>
      <c r="E4" s="186" t="s">
        <v>431</v>
      </c>
      <c r="F4" s="268" t="s">
        <v>432</v>
      </c>
      <c r="G4" s="186" t="s">
        <v>139</v>
      </c>
      <c r="H4" s="186" t="s">
        <v>140</v>
      </c>
      <c r="I4" s="186" t="s">
        <v>141</v>
      </c>
      <c r="J4" s="186" t="s">
        <v>142</v>
      </c>
      <c r="K4" s="186" t="s">
        <v>118</v>
      </c>
    </row>
    <row r="5" spans="2:11" ht="15.75" thickBot="1">
      <c r="B5" s="187"/>
      <c r="C5" s="188"/>
      <c r="D5" s="241"/>
      <c r="E5" s="241"/>
      <c r="F5" s="242"/>
      <c r="G5" s="241"/>
      <c r="H5" s="241"/>
      <c r="I5" s="241"/>
      <c r="J5" s="241"/>
      <c r="K5" s="241"/>
    </row>
    <row r="6" spans="2:11" ht="15.75" thickBot="1">
      <c r="B6" s="187">
        <v>1</v>
      </c>
      <c r="C6" s="188" t="s">
        <v>143</v>
      </c>
      <c r="D6" s="241"/>
      <c r="E6" s="242">
        <v>25894240500</v>
      </c>
      <c r="F6" s="242"/>
      <c r="G6" s="242"/>
      <c r="H6" s="242"/>
      <c r="I6" s="242"/>
      <c r="J6" s="242"/>
      <c r="K6" s="242"/>
    </row>
    <row r="7" spans="2:11" ht="15.75" thickBot="1">
      <c r="B7" s="191">
        <v>1.1</v>
      </c>
      <c r="C7" s="191" t="s">
        <v>114</v>
      </c>
      <c r="D7" s="243"/>
      <c r="E7" s="244">
        <v>25894240500</v>
      </c>
      <c r="F7" s="244">
        <f>39123488.23+8379702811.77</f>
        <v>8418826300</v>
      </c>
      <c r="G7" s="246">
        <v>120326412.24000001</v>
      </c>
      <c r="H7" s="246">
        <f>1009650+262130250.14+12</f>
        <v>263139912.14</v>
      </c>
      <c r="I7" s="246">
        <f>2624801+78381399.22</f>
        <v>81006200.22</v>
      </c>
      <c r="J7" s="246">
        <v>0</v>
      </c>
      <c r="K7" s="196">
        <f>SUM(D7:J7)</f>
        <v>34777539324.6</v>
      </c>
    </row>
    <row r="8" spans="2:11" ht="15.75" thickBot="1">
      <c r="B8" s="212">
        <v>1.2</v>
      </c>
      <c r="C8" s="212" t="s">
        <v>131</v>
      </c>
      <c r="D8" s="243"/>
      <c r="E8" s="243">
        <f aca="true" t="shared" si="0" ref="E8:J8">+E9+E10+E11+E12</f>
        <v>715941502.24</v>
      </c>
      <c r="F8" s="250">
        <f t="shared" si="0"/>
        <v>284386588.12</v>
      </c>
      <c r="G8" s="243">
        <f t="shared" si="0"/>
        <v>15340000</v>
      </c>
      <c r="H8" s="243">
        <f t="shared" si="0"/>
        <v>49753540.65</v>
      </c>
      <c r="I8" s="243">
        <f t="shared" si="0"/>
        <v>3182799.8900000006</v>
      </c>
      <c r="J8" s="243">
        <f t="shared" si="0"/>
        <v>7624898.62</v>
      </c>
      <c r="K8" s="196">
        <f>SUM(D8:J8)</f>
        <v>1076229329.52</v>
      </c>
    </row>
    <row r="9" spans="2:11" ht="15.75" thickBot="1">
      <c r="B9" s="212">
        <v>1.3</v>
      </c>
      <c r="C9" s="212" t="s">
        <v>144</v>
      </c>
      <c r="D9" s="243"/>
      <c r="E9" s="244"/>
      <c r="F9" s="244"/>
      <c r="G9" s="245"/>
      <c r="H9" s="245"/>
      <c r="I9" s="245"/>
      <c r="J9" s="245"/>
      <c r="K9" s="196">
        <f aca="true" t="shared" si="1" ref="K9:K19">SUM(D9:J9)</f>
        <v>0</v>
      </c>
    </row>
    <row r="10" spans="2:11" ht="15.75" thickBot="1">
      <c r="B10" s="212">
        <v>1.4</v>
      </c>
      <c r="C10" s="212" t="s">
        <v>145</v>
      </c>
      <c r="D10" s="243"/>
      <c r="E10" s="244">
        <v>715941502.24</v>
      </c>
      <c r="F10" s="244">
        <v>284386588.12</v>
      </c>
      <c r="G10" s="245">
        <v>15340000</v>
      </c>
      <c r="H10" s="247">
        <v>45248199.76</v>
      </c>
      <c r="I10" s="247">
        <v>3182799.8900000006</v>
      </c>
      <c r="J10" s="245">
        <v>4655477.88</v>
      </c>
      <c r="K10" s="196">
        <f t="shared" si="1"/>
        <v>1068754567.89</v>
      </c>
    </row>
    <row r="11" spans="2:11" ht="15.75" thickBot="1">
      <c r="B11" s="212">
        <v>1.5</v>
      </c>
      <c r="C11" s="212" t="s">
        <v>434</v>
      </c>
      <c r="D11" s="243"/>
      <c r="E11" s="244"/>
      <c r="F11" s="244"/>
      <c r="G11" s="245"/>
      <c r="H11" s="245">
        <v>4505340.89</v>
      </c>
      <c r="I11" s="245"/>
      <c r="J11" s="245">
        <v>2969420.74</v>
      </c>
      <c r="K11" s="196">
        <f t="shared" si="1"/>
        <v>7474761.63</v>
      </c>
    </row>
    <row r="12" spans="2:11" ht="15.75" thickBot="1">
      <c r="B12" s="187">
        <v>2.1</v>
      </c>
      <c r="C12" s="191" t="s">
        <v>147</v>
      </c>
      <c r="D12" s="243"/>
      <c r="E12" s="244"/>
      <c r="F12" s="244"/>
      <c r="G12" s="245"/>
      <c r="H12" s="245"/>
      <c r="I12" s="245"/>
      <c r="J12" s="245"/>
      <c r="K12" s="196">
        <f t="shared" si="1"/>
        <v>0</v>
      </c>
    </row>
    <row r="13" spans="2:11" ht="15.75" thickBot="1">
      <c r="B13" s="187">
        <v>2.2</v>
      </c>
      <c r="C13" s="187" t="s">
        <v>424</v>
      </c>
      <c r="D13" s="244">
        <f>+D14+D15+D16+D17</f>
        <v>0</v>
      </c>
      <c r="E13" s="244">
        <f aca="true" t="shared" si="2" ref="E13:K13">+E14+E15+E16+E17</f>
        <v>12144255</v>
      </c>
      <c r="F13" s="244">
        <f t="shared" si="2"/>
        <v>79581692.13</v>
      </c>
      <c r="G13" s="244">
        <f t="shared" si="2"/>
        <v>22808757</v>
      </c>
      <c r="H13" s="244">
        <f t="shared" si="2"/>
        <v>2016646.98</v>
      </c>
      <c r="I13" s="244">
        <f t="shared" si="2"/>
        <v>1591693.8</v>
      </c>
      <c r="J13" s="244">
        <f t="shared" si="2"/>
        <v>455704.5</v>
      </c>
      <c r="K13" s="244">
        <f t="shared" si="2"/>
        <v>118598749.41</v>
      </c>
    </row>
    <row r="14" spans="2:11" ht="15.75" thickBot="1">
      <c r="B14" s="187">
        <v>2.3</v>
      </c>
      <c r="C14" s="187" t="s">
        <v>148</v>
      </c>
      <c r="D14" s="243"/>
      <c r="E14" s="244">
        <v>8398800</v>
      </c>
      <c r="F14" s="244">
        <v>75313000</v>
      </c>
      <c r="G14" s="245">
        <v>8000000</v>
      </c>
      <c r="H14" s="245">
        <v>739320.89</v>
      </c>
      <c r="I14" s="245">
        <v>927101.8</v>
      </c>
      <c r="J14" s="245">
        <v>455704.5</v>
      </c>
      <c r="K14" s="196">
        <f>SUM(D14:J14)</f>
        <v>93833927.19</v>
      </c>
    </row>
    <row r="15" spans="2:11" ht="15.75" thickBot="1">
      <c r="B15" s="187">
        <v>2.4</v>
      </c>
      <c r="C15" s="187" t="s">
        <v>435</v>
      </c>
      <c r="D15" s="243"/>
      <c r="E15" s="244"/>
      <c r="F15" s="244"/>
      <c r="G15" s="245"/>
      <c r="H15" s="245"/>
      <c r="I15" s="245"/>
      <c r="J15" s="245"/>
      <c r="K15" s="196">
        <f t="shared" si="1"/>
        <v>0</v>
      </c>
    </row>
    <row r="16" spans="2:11" ht="15.75" thickBot="1">
      <c r="B16" s="187">
        <v>2.5</v>
      </c>
      <c r="C16" s="187" t="s">
        <v>149</v>
      </c>
      <c r="D16" s="243"/>
      <c r="E16" s="244"/>
      <c r="F16" s="244"/>
      <c r="G16" s="245"/>
      <c r="H16" s="245"/>
      <c r="I16" s="245"/>
      <c r="J16" s="245"/>
      <c r="K16" s="196">
        <f t="shared" si="1"/>
        <v>0</v>
      </c>
    </row>
    <row r="17" spans="2:11" ht="15.75" thickBot="1">
      <c r="B17" s="187">
        <v>2.6</v>
      </c>
      <c r="C17" s="187" t="s">
        <v>434</v>
      </c>
      <c r="D17" s="243"/>
      <c r="E17" s="244">
        <v>3745455</v>
      </c>
      <c r="F17" s="244">
        <v>4268692.13</v>
      </c>
      <c r="G17" s="247">
        <v>14808757</v>
      </c>
      <c r="H17" s="245">
        <v>1277326.09</v>
      </c>
      <c r="I17" s="245">
        <v>664592</v>
      </c>
      <c r="J17" s="245"/>
      <c r="K17" s="196">
        <f t="shared" si="1"/>
        <v>24764822.22</v>
      </c>
    </row>
    <row r="18" spans="2:11" ht="15.75" thickBot="1">
      <c r="B18" s="187">
        <v>2.7</v>
      </c>
      <c r="C18" s="199" t="s">
        <v>150</v>
      </c>
      <c r="D18" s="243">
        <v>255535910.49</v>
      </c>
      <c r="E18" s="244">
        <v>-20955262.3</v>
      </c>
      <c r="F18" s="244">
        <f>155708304.59</f>
        <v>155708304.59</v>
      </c>
      <c r="G18" s="245">
        <v>-37623855</v>
      </c>
      <c r="H18" s="247">
        <f>161591216.95-0.14</f>
        <v>161591216.81</v>
      </c>
      <c r="I18" s="245">
        <v>47113653.96</v>
      </c>
      <c r="J18" s="245">
        <v>49140564.7</v>
      </c>
      <c r="K18" s="196">
        <f>SUM(D18:J18)</f>
        <v>610510533.25</v>
      </c>
    </row>
    <row r="19" spans="2:11" ht="30.75" thickBot="1">
      <c r="B19" s="187">
        <v>2.8</v>
      </c>
      <c r="C19" s="200" t="s">
        <v>437</v>
      </c>
      <c r="D19" s="243"/>
      <c r="E19" s="244"/>
      <c r="F19" s="244"/>
      <c r="G19" s="245"/>
      <c r="H19" s="247"/>
      <c r="I19" s="245"/>
      <c r="J19" s="245"/>
      <c r="K19" s="196">
        <f t="shared" si="1"/>
        <v>0</v>
      </c>
    </row>
    <row r="20" spans="2:13" ht="15.75" thickBot="1">
      <c r="B20" s="187"/>
      <c r="C20" s="188" t="s">
        <v>121</v>
      </c>
      <c r="D20" s="244">
        <f>+D7+D8-D13+D18</f>
        <v>255535910.49</v>
      </c>
      <c r="E20" s="244">
        <f aca="true" t="shared" si="3" ref="E20:K20">+E7+E8-E13+E18</f>
        <v>26577082484.940002</v>
      </c>
      <c r="F20" s="244">
        <f t="shared" si="3"/>
        <v>8779339500.580002</v>
      </c>
      <c r="G20" s="244">
        <f>+G7+G8-G13+G18</f>
        <v>75233800.24000001</v>
      </c>
      <c r="H20" s="244">
        <f t="shared" si="3"/>
        <v>472468022.61999995</v>
      </c>
      <c r="I20" s="244">
        <f t="shared" si="3"/>
        <v>129710960.27000001</v>
      </c>
      <c r="J20" s="244">
        <f t="shared" si="3"/>
        <v>56309758.82</v>
      </c>
      <c r="K20" s="244">
        <f t="shared" si="3"/>
        <v>36345680437.95999</v>
      </c>
      <c r="L20" s="67"/>
      <c r="M20" s="67"/>
    </row>
    <row r="21" spans="2:11" ht="15.75" thickBot="1">
      <c r="B21" s="212">
        <v>3.1</v>
      </c>
      <c r="C21" s="187" t="s">
        <v>151</v>
      </c>
      <c r="D21" s="243"/>
      <c r="E21" s="244"/>
      <c r="F21" s="244"/>
      <c r="G21" s="245"/>
      <c r="H21" s="246"/>
      <c r="I21" s="246"/>
      <c r="J21" s="246"/>
      <c r="K21" s="196"/>
    </row>
    <row r="22" spans="2:11" ht="15.75" thickBot="1">
      <c r="B22" s="212">
        <v>3.2</v>
      </c>
      <c r="C22" s="205" t="s">
        <v>426</v>
      </c>
      <c r="D22" s="243"/>
      <c r="E22" s="244">
        <f>2684598145.51553-62502745.52</f>
        <v>2622095399.99553</v>
      </c>
      <c r="F22" s="244">
        <f>3513416929.98+14124170.02</f>
        <v>3527541100</v>
      </c>
      <c r="G22" s="245">
        <v>64589759.88</v>
      </c>
      <c r="H22" s="246">
        <f>1009662+128114637.81875</f>
        <v>129124299.81875</v>
      </c>
      <c r="I22" s="246">
        <f>2625749+50381450.95875</f>
        <v>53007199.95875</v>
      </c>
      <c r="J22" s="246"/>
      <c r="K22" s="196">
        <f>SUM(D22:J22)</f>
        <v>6396357759.65303</v>
      </c>
    </row>
    <row r="23" spans="2:11" ht="15.75" thickBot="1">
      <c r="B23" s="212">
        <v>3.3</v>
      </c>
      <c r="C23" s="212" t="s">
        <v>131</v>
      </c>
      <c r="D23" s="243">
        <f aca="true" t="shared" si="4" ref="D23:J23">+D24+D25</f>
        <v>43151499.473625</v>
      </c>
      <c r="E23" s="243">
        <f t="shared" si="4"/>
        <v>933157588.445902</v>
      </c>
      <c r="F23" s="250">
        <f t="shared" si="4"/>
        <v>838970061.91</v>
      </c>
      <c r="G23" s="243">
        <f t="shared" si="4"/>
        <v>-11972159.060000002</v>
      </c>
      <c r="H23" s="243">
        <f t="shared" si="4"/>
        <v>167619324.01</v>
      </c>
      <c r="I23" s="243">
        <f t="shared" si="4"/>
        <v>40536205.88</v>
      </c>
      <c r="J23" s="243">
        <f t="shared" si="4"/>
        <v>14957253.69</v>
      </c>
      <c r="K23" s="196">
        <f aca="true" t="shared" si="5" ref="K23:K32">SUM(D23:J23)</f>
        <v>2026419774.3495271</v>
      </c>
    </row>
    <row r="24" spans="2:11" ht="15.75" thickBot="1">
      <c r="B24" s="212">
        <v>3.4</v>
      </c>
      <c r="C24" s="212" t="s">
        <v>438</v>
      </c>
      <c r="D24" s="243">
        <v>7485218</v>
      </c>
      <c r="E24" s="248">
        <v>532253035.305902</v>
      </c>
      <c r="F24" s="250">
        <v>775369466</v>
      </c>
      <c r="G24" s="243">
        <v>11648977.04</v>
      </c>
      <c r="H24" s="250">
        <v>45663781.06</v>
      </c>
      <c r="I24" s="249">
        <v>26192447.3</v>
      </c>
      <c r="J24" s="243">
        <v>14957253.69</v>
      </c>
      <c r="K24" s="196">
        <f t="shared" si="5"/>
        <v>1413570178.395902</v>
      </c>
    </row>
    <row r="25" spans="2:11" ht="15.75" thickBot="1">
      <c r="B25" s="212">
        <v>3.5</v>
      </c>
      <c r="C25" s="187" t="s">
        <v>439</v>
      </c>
      <c r="D25" s="243">
        <v>35666281.473625</v>
      </c>
      <c r="E25" s="250">
        <v>400904553.14</v>
      </c>
      <c r="F25" s="250">
        <v>63600595.91</v>
      </c>
      <c r="G25" s="243">
        <v>-23621136.1</v>
      </c>
      <c r="H25" s="243">
        <f>121955530.95+12</f>
        <v>121955542.95</v>
      </c>
      <c r="I25" s="243">
        <v>14343758.58</v>
      </c>
      <c r="J25" s="243"/>
      <c r="K25" s="196">
        <f t="shared" si="5"/>
        <v>612849595.9536251</v>
      </c>
    </row>
    <row r="26" spans="2:11" ht="26.25" thickBot="1">
      <c r="B26" s="212"/>
      <c r="C26" s="214" t="s">
        <v>437</v>
      </c>
      <c r="D26" s="243"/>
      <c r="E26" s="250"/>
      <c r="F26" s="250"/>
      <c r="G26" s="243"/>
      <c r="H26" s="243"/>
      <c r="I26" s="243"/>
      <c r="J26" s="243">
        <v>23975761.130000003</v>
      </c>
      <c r="K26" s="196">
        <f t="shared" si="5"/>
        <v>23975761.130000003</v>
      </c>
    </row>
    <row r="27" spans="2:11" ht="15.75" thickBot="1">
      <c r="B27" s="212">
        <v>4.1</v>
      </c>
      <c r="C27" s="187" t="s">
        <v>152</v>
      </c>
      <c r="D27" s="250">
        <f aca="true" t="shared" si="6" ref="D27:J27">SUM(D28:D30)</f>
        <v>0</v>
      </c>
      <c r="E27" s="243">
        <f t="shared" si="6"/>
        <v>2530346.76</v>
      </c>
      <c r="F27" s="250">
        <f t="shared" si="6"/>
        <v>51202466.43</v>
      </c>
      <c r="G27" s="243">
        <f t="shared" si="6"/>
        <v>11331970.33</v>
      </c>
      <c r="H27" s="243">
        <f t="shared" si="6"/>
        <v>840286.09</v>
      </c>
      <c r="I27" s="243">
        <f t="shared" si="6"/>
        <v>1591693.8</v>
      </c>
      <c r="J27" s="243">
        <f t="shared" si="6"/>
        <v>-23975761.1325</v>
      </c>
      <c r="K27" s="196">
        <f t="shared" si="5"/>
        <v>43521002.277499996</v>
      </c>
    </row>
    <row r="28" spans="2:11" ht="15.75" thickBot="1">
      <c r="B28" s="187">
        <v>4.2</v>
      </c>
      <c r="C28" s="187" t="s">
        <v>440</v>
      </c>
      <c r="D28" s="250"/>
      <c r="E28" s="250">
        <v>2530346.76</v>
      </c>
      <c r="F28" s="250">
        <v>51202466.43</v>
      </c>
      <c r="G28" s="243">
        <v>11331970.33</v>
      </c>
      <c r="H28" s="250">
        <v>840286.09</v>
      </c>
      <c r="I28" s="243">
        <v>1591693.8</v>
      </c>
      <c r="J28" s="243">
        <v>-23975761.1325</v>
      </c>
      <c r="K28" s="196">
        <f t="shared" si="5"/>
        <v>43521002.277499996</v>
      </c>
    </row>
    <row r="29" spans="2:11" ht="15.75" thickBot="1">
      <c r="B29" s="212">
        <v>4.3</v>
      </c>
      <c r="C29" s="187" t="s">
        <v>441</v>
      </c>
      <c r="D29" s="250"/>
      <c r="E29" s="250"/>
      <c r="F29" s="250"/>
      <c r="G29" s="243"/>
      <c r="H29" s="243"/>
      <c r="I29" s="243"/>
      <c r="J29" s="243"/>
      <c r="K29" s="196">
        <f t="shared" si="5"/>
        <v>0</v>
      </c>
    </row>
    <row r="30" spans="2:11" ht="15.75" thickBot="1">
      <c r="B30" s="187">
        <v>4.4</v>
      </c>
      <c r="C30" s="213" t="s">
        <v>436</v>
      </c>
      <c r="D30" s="250"/>
      <c r="E30" s="250"/>
      <c r="F30" s="250"/>
      <c r="G30" s="243"/>
      <c r="H30" s="243"/>
      <c r="I30" s="243"/>
      <c r="J30" s="243"/>
      <c r="K30" s="196">
        <f t="shared" si="5"/>
        <v>0</v>
      </c>
    </row>
    <row r="31" spans="2:11" ht="15.75" thickBot="1">
      <c r="B31" s="187"/>
      <c r="C31" s="188" t="s">
        <v>121</v>
      </c>
      <c r="D31" s="243">
        <f>+D22+D23-D27</f>
        <v>43151499.473625</v>
      </c>
      <c r="E31" s="250">
        <f aca="true" t="shared" si="7" ref="E31:J31">+E22+E23-E27</f>
        <v>3552722641.681432</v>
      </c>
      <c r="F31" s="250">
        <f>+F22+F23-F27</f>
        <v>4315308695.48</v>
      </c>
      <c r="G31" s="250">
        <f t="shared" si="7"/>
        <v>41285630.49</v>
      </c>
      <c r="H31" s="250">
        <f t="shared" si="7"/>
        <v>295903337.73875004</v>
      </c>
      <c r="I31" s="250">
        <f t="shared" si="7"/>
        <v>91951712.03875001</v>
      </c>
      <c r="J31" s="250">
        <f t="shared" si="7"/>
        <v>38933014.8225</v>
      </c>
      <c r="K31" s="196">
        <f>SUM(D31:J31)</f>
        <v>8379256531.725057</v>
      </c>
    </row>
    <row r="32" spans="2:11" ht="15.75" thickBot="1">
      <c r="B32" s="187"/>
      <c r="C32" s="187" t="s">
        <v>442</v>
      </c>
      <c r="D32" s="243"/>
      <c r="E32" s="244"/>
      <c r="F32" s="244"/>
      <c r="G32" s="245"/>
      <c r="H32" s="246"/>
      <c r="I32" s="246"/>
      <c r="J32" s="246"/>
      <c r="K32" s="196">
        <f t="shared" si="5"/>
        <v>0</v>
      </c>
    </row>
    <row r="33" spans="2:13" ht="15.75" thickBot="1">
      <c r="B33" s="187"/>
      <c r="C33" s="187" t="s">
        <v>443</v>
      </c>
      <c r="D33" s="243">
        <f aca="true" t="shared" si="8" ref="D33:J33">+D7-D22</f>
        <v>0</v>
      </c>
      <c r="E33" s="250">
        <f t="shared" si="8"/>
        <v>23272145100.00447</v>
      </c>
      <c r="F33" s="250">
        <f t="shared" si="8"/>
        <v>4891285200</v>
      </c>
      <c r="G33" s="243">
        <f t="shared" si="8"/>
        <v>55736652.36000001</v>
      </c>
      <c r="H33" s="243">
        <f t="shared" si="8"/>
        <v>134015612.32124999</v>
      </c>
      <c r="I33" s="243">
        <f t="shared" si="8"/>
        <v>27999000.261249997</v>
      </c>
      <c r="J33" s="243">
        <f t="shared" si="8"/>
        <v>0</v>
      </c>
      <c r="K33" s="196">
        <f>SUM(D33:J33)</f>
        <v>28381181564.94697</v>
      </c>
      <c r="L33" s="67"/>
      <c r="M33" s="67"/>
    </row>
    <row r="34" spans="2:13" ht="16.5" thickBot="1">
      <c r="B34" s="209"/>
      <c r="C34" s="210" t="s">
        <v>444</v>
      </c>
      <c r="D34" s="251">
        <f aca="true" t="shared" si="9" ref="D34:J34">+D20-D31</f>
        <v>212384411.016375</v>
      </c>
      <c r="E34" s="251">
        <f t="shared" si="9"/>
        <v>23024359843.25857</v>
      </c>
      <c r="F34" s="251">
        <f t="shared" si="9"/>
        <v>4464030805.100002</v>
      </c>
      <c r="G34" s="251">
        <f t="shared" si="9"/>
        <v>33948169.75000001</v>
      </c>
      <c r="H34" s="251">
        <f t="shared" si="9"/>
        <v>176564684.8812499</v>
      </c>
      <c r="I34" s="251">
        <f t="shared" si="9"/>
        <v>37759248.23125</v>
      </c>
      <c r="J34" s="251">
        <f t="shared" si="9"/>
        <v>17376743.997500002</v>
      </c>
      <c r="K34" s="196">
        <f>SUM(D34:J34)</f>
        <v>27966423906.23495</v>
      </c>
      <c r="L34" s="67"/>
      <c r="M34" s="67"/>
    </row>
    <row r="35" spans="2:11" ht="15">
      <c r="B35" s="22" t="s">
        <v>209</v>
      </c>
      <c r="D35" s="252"/>
      <c r="E35" s="252"/>
      <c r="F35" s="252"/>
      <c r="G35" s="252"/>
      <c r="H35" s="252"/>
      <c r="I35" s="252"/>
      <c r="J35" s="252"/>
      <c r="K35" s="185"/>
    </row>
    <row r="36" spans="1:120" ht="15" hidden="1">
      <c r="A36" s="224" t="s">
        <v>209</v>
      </c>
      <c r="B36" s="224" t="s">
        <v>209</v>
      </c>
      <c r="C36" s="224" t="s">
        <v>209</v>
      </c>
      <c r="D36" s="252"/>
      <c r="E36" s="252"/>
      <c r="F36" s="252"/>
      <c r="G36" s="252"/>
      <c r="H36" s="252"/>
      <c r="I36" s="252"/>
      <c r="J36" s="252"/>
      <c r="K36" s="185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</row>
    <row r="37" spans="4:11" ht="15" hidden="1">
      <c r="D37" s="220">
        <v>0</v>
      </c>
      <c r="E37" s="220">
        <v>23272145100.00447</v>
      </c>
      <c r="F37" s="220">
        <v>4891285200</v>
      </c>
      <c r="G37" s="220">
        <v>55736652.36000001</v>
      </c>
      <c r="H37" s="220">
        <v>134015612.32125005</v>
      </c>
      <c r="I37" s="220">
        <v>27999948.261250004</v>
      </c>
      <c r="J37" s="220">
        <v>0</v>
      </c>
      <c r="K37" s="220">
        <v>28293680449.216972</v>
      </c>
    </row>
    <row r="38" spans="4:11" ht="15" hidden="1">
      <c r="D38" s="220">
        <v>212384410.59</v>
      </c>
      <c r="E38" s="220">
        <v>23024359843.63</v>
      </c>
      <c r="F38" s="220">
        <v>4464030804.710002</v>
      </c>
      <c r="G38" s="220">
        <v>33948169.51</v>
      </c>
      <c r="H38" s="220">
        <v>176564684.7</v>
      </c>
      <c r="I38" s="220">
        <v>37760195.98</v>
      </c>
      <c r="J38" s="220">
        <v>17376744</v>
      </c>
      <c r="K38" s="220">
        <v>27528568131.2</v>
      </c>
    </row>
    <row r="39" spans="4:10" ht="15" hidden="1">
      <c r="D39" s="269">
        <f>+D33-D37</f>
        <v>0</v>
      </c>
      <c r="E39" s="269">
        <f aca="true" t="shared" si="10" ref="E39:J39">+E33-E37</f>
        <v>0</v>
      </c>
      <c r="F39" s="269">
        <f t="shared" si="10"/>
        <v>0</v>
      </c>
      <c r="G39" s="269">
        <f t="shared" si="10"/>
        <v>0</v>
      </c>
      <c r="H39" s="269">
        <f>+H33-H37</f>
        <v>0</v>
      </c>
      <c r="I39" s="269">
        <f t="shared" si="10"/>
        <v>-948.0000000074506</v>
      </c>
      <c r="J39" s="269">
        <f t="shared" si="10"/>
        <v>0</v>
      </c>
    </row>
    <row r="40" spans="4:10" s="254" customFormat="1" ht="15" hidden="1">
      <c r="D40" s="269">
        <f>+D34-D38</f>
        <v>0.42637500166893005</v>
      </c>
      <c r="E40" s="269">
        <f aca="true" t="shared" si="11" ref="E40:J40">+E34-E38</f>
        <v>-0.371429443359375</v>
      </c>
      <c r="F40" s="269">
        <f t="shared" si="11"/>
        <v>0.3900003433227539</v>
      </c>
      <c r="G40" s="269">
        <f t="shared" si="11"/>
        <v>0.24000000953674316</v>
      </c>
      <c r="H40" s="269">
        <f>+H34-H38</f>
        <v>0.18124991655349731</v>
      </c>
      <c r="I40" s="269">
        <f t="shared" si="11"/>
        <v>-947.7487499937415</v>
      </c>
      <c r="J40" s="269">
        <f t="shared" si="11"/>
        <v>-0.002499997615814209</v>
      </c>
    </row>
    <row r="41" s="254" customFormat="1" ht="15">
      <c r="F41" s="159"/>
    </row>
    <row r="42" s="254" customFormat="1" ht="15">
      <c r="F42" s="159"/>
    </row>
    <row r="43" ht="15">
      <c r="E43" s="18" t="s">
        <v>418</v>
      </c>
    </row>
    <row r="44" ht="15">
      <c r="E44" s="18"/>
    </row>
    <row r="45" ht="15">
      <c r="E45" s="18" t="s">
        <v>419</v>
      </c>
    </row>
  </sheetData>
  <sheetProtection/>
  <mergeCells count="1">
    <mergeCell ref="BP36:DP36"/>
  </mergeCells>
  <printOptions/>
  <pageMargins left="0" right="0" top="0" bottom="0" header="0.3" footer="0.3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P52"/>
  <sheetViews>
    <sheetView zoomScalePageLayoutView="0" workbookViewId="0" topLeftCell="A27">
      <selection activeCell="E41" sqref="E41"/>
    </sheetView>
  </sheetViews>
  <sheetFormatPr defaultColWidth="9.140625" defaultRowHeight="15"/>
  <cols>
    <col min="1" max="1" width="3.140625" style="141" customWidth="1"/>
    <col min="2" max="2" width="6.421875" style="141" customWidth="1"/>
    <col min="3" max="3" width="33.28125" style="141" customWidth="1"/>
    <col min="4" max="4" width="12.421875" style="141" customWidth="1"/>
    <col min="5" max="5" width="18.421875" style="141" bestFit="1" customWidth="1"/>
    <col min="6" max="6" width="15.421875" style="141" bestFit="1" customWidth="1"/>
    <col min="7" max="7" width="10.421875" style="141" customWidth="1"/>
    <col min="8" max="8" width="12.421875" style="141" customWidth="1"/>
    <col min="9" max="9" width="11.00390625" style="141" customWidth="1"/>
    <col min="10" max="10" width="13.8515625" style="141" customWidth="1"/>
    <col min="11" max="11" width="14.7109375" style="141" customWidth="1"/>
    <col min="12" max="21" width="17.421875" style="141" customWidth="1"/>
    <col min="22" max="16384" width="11.421875" style="141" customWidth="1"/>
  </cols>
  <sheetData>
    <row r="1" ht="15.75">
      <c r="B1" s="21" t="s">
        <v>483</v>
      </c>
    </row>
    <row r="2" spans="2:11" ht="15.75">
      <c r="B2" s="172" t="s">
        <v>266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6:7" ht="12.75" customHeight="1">
      <c r="F3" s="436" t="s">
        <v>1</v>
      </c>
      <c r="G3" s="436"/>
    </row>
    <row r="4" spans="2:7" ht="34.5" customHeight="1">
      <c r="B4" s="35" t="s">
        <v>112</v>
      </c>
      <c r="C4" s="36" t="s">
        <v>19</v>
      </c>
      <c r="D4" s="36" t="s">
        <v>163</v>
      </c>
      <c r="E4" s="36" t="s">
        <v>267</v>
      </c>
      <c r="F4" s="36" t="s">
        <v>268</v>
      </c>
      <c r="G4" s="36" t="s">
        <v>269</v>
      </c>
    </row>
    <row r="5" spans="2:7" ht="13.5" customHeight="1">
      <c r="B5" s="19" t="s">
        <v>212</v>
      </c>
      <c r="C5" s="75" t="s">
        <v>620</v>
      </c>
      <c r="D5" s="93">
        <v>2019</v>
      </c>
      <c r="E5" s="24">
        <v>70</v>
      </c>
      <c r="F5" s="24">
        <v>6464684279.9</v>
      </c>
      <c r="G5" s="24">
        <v>2020</v>
      </c>
    </row>
    <row r="6" spans="2:7" ht="13.5" customHeight="1">
      <c r="B6" s="19">
        <v>2</v>
      </c>
      <c r="C6" s="75" t="s">
        <v>621</v>
      </c>
      <c r="D6" s="93">
        <v>2019</v>
      </c>
      <c r="E6" s="24">
        <v>90</v>
      </c>
      <c r="F6" s="174">
        <f>+'balance sheet'!E28-F5</f>
        <v>-6119109047.709999</v>
      </c>
      <c r="G6" s="24">
        <v>2020</v>
      </c>
    </row>
    <row r="7" spans="2:7" ht="13.5" customHeight="1">
      <c r="B7" s="19"/>
      <c r="C7" s="25" t="s">
        <v>118</v>
      </c>
      <c r="D7" s="24" t="s">
        <v>209</v>
      </c>
      <c r="E7" s="24" t="s">
        <v>270</v>
      </c>
      <c r="F7" s="24">
        <f>SUM(F5:F6)</f>
        <v>345575232.19000053</v>
      </c>
      <c r="G7" s="24" t="s">
        <v>209</v>
      </c>
    </row>
    <row r="8" spans="2:6" ht="15.75">
      <c r="B8" s="21" t="s">
        <v>216</v>
      </c>
      <c r="F8" s="129"/>
    </row>
    <row r="9" spans="2:6" ht="15">
      <c r="B9" s="22" t="s">
        <v>209</v>
      </c>
      <c r="F9" s="129"/>
    </row>
    <row r="10" ht="12" customHeight="1">
      <c r="B10" s="21"/>
    </row>
    <row r="11" spans="2:11" ht="13.5" customHeight="1">
      <c r="B11" s="172" t="s">
        <v>271</v>
      </c>
      <c r="C11" s="173"/>
      <c r="D11" s="173"/>
      <c r="E11" s="173"/>
      <c r="F11" s="173"/>
      <c r="G11" s="173"/>
      <c r="H11" s="173"/>
      <c r="I11" s="173"/>
      <c r="J11" s="173"/>
      <c r="K11" s="173"/>
    </row>
    <row r="12" ht="12" customHeight="1">
      <c r="K12" s="22" t="s">
        <v>1</v>
      </c>
    </row>
    <row r="13" spans="2:11" ht="12" customHeight="1">
      <c r="B13" s="23" t="s">
        <v>112</v>
      </c>
      <c r="C13" s="23" t="s">
        <v>19</v>
      </c>
      <c r="D13" s="23" t="s">
        <v>153</v>
      </c>
      <c r="E13" s="23" t="s">
        <v>154</v>
      </c>
      <c r="F13" s="23" t="s">
        <v>155</v>
      </c>
      <c r="G13" s="23" t="s">
        <v>156</v>
      </c>
      <c r="H13" s="23" t="s">
        <v>157</v>
      </c>
      <c r="I13" s="23" t="s">
        <v>272</v>
      </c>
      <c r="J13" s="23" t="s">
        <v>158</v>
      </c>
      <c r="K13" s="23" t="s">
        <v>118</v>
      </c>
    </row>
    <row r="14" spans="2:11" ht="12" customHeight="1">
      <c r="B14" s="19" t="s">
        <v>212</v>
      </c>
      <c r="C14" s="25" t="s">
        <v>159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2:11" ht="12" customHeight="1">
      <c r="B15" s="19" t="s">
        <v>239</v>
      </c>
      <c r="C15" s="19" t="s">
        <v>114</v>
      </c>
      <c r="D15" s="24">
        <v>0</v>
      </c>
      <c r="E15" s="24">
        <f>+'balance sheet'!D21</f>
        <v>45552811.6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2:11" ht="12" customHeight="1">
      <c r="B16" s="19" t="s">
        <v>240</v>
      </c>
      <c r="C16" s="19" t="s">
        <v>131</v>
      </c>
      <c r="D16" s="24">
        <v>0</v>
      </c>
      <c r="E16" s="24">
        <f>20553499.96+1666500</f>
        <v>22219999.96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2:11" ht="12" customHeight="1">
      <c r="B17" s="19" t="s">
        <v>241</v>
      </c>
      <c r="C17" s="19" t="s">
        <v>144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2:11" ht="12" customHeight="1">
      <c r="B18" s="19" t="s">
        <v>242</v>
      </c>
      <c r="C18" s="19" t="s">
        <v>145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2:11" ht="12" customHeight="1">
      <c r="B19" s="19" t="s">
        <v>243</v>
      </c>
      <c r="C19" s="19" t="s">
        <v>146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2:11" ht="12" customHeight="1">
      <c r="B20" s="19" t="s">
        <v>244</v>
      </c>
      <c r="C20" s="19" t="s">
        <v>147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2:11" ht="12" customHeight="1">
      <c r="B21" s="19" t="s">
        <v>245</v>
      </c>
      <c r="C21" s="19" t="s">
        <v>152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2:11" ht="12" customHeight="1">
      <c r="B22" s="19" t="s">
        <v>246</v>
      </c>
      <c r="C22" s="19" t="s">
        <v>148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2:11" ht="12" customHeight="1">
      <c r="B23" s="19" t="s">
        <v>247</v>
      </c>
      <c r="C23" s="19" t="s">
        <v>273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2:11" ht="12" customHeight="1">
      <c r="B24" s="19" t="s">
        <v>248</v>
      </c>
      <c r="C24" s="19" t="s">
        <v>149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2:11" ht="12" customHeight="1">
      <c r="B25" s="19" t="s">
        <v>249</v>
      </c>
      <c r="C25" s="19" t="s">
        <v>121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2:11" ht="12" customHeight="1">
      <c r="B26" s="19" t="s">
        <v>213</v>
      </c>
      <c r="C26" s="25" t="s">
        <v>160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2:11" ht="12" customHeight="1">
      <c r="B27" s="19" t="s">
        <v>252</v>
      </c>
      <c r="C27" s="19" t="s">
        <v>114</v>
      </c>
      <c r="D27" s="24">
        <v>0</v>
      </c>
      <c r="E27" s="24">
        <v>603600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2:11" ht="12" customHeight="1">
      <c r="B28" s="19" t="s">
        <v>253</v>
      </c>
      <c r="C28" s="19" t="s">
        <v>131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2:11" ht="12" customHeight="1">
      <c r="B29" s="19" t="s">
        <v>254</v>
      </c>
      <c r="C29" s="19" t="s">
        <v>274</v>
      </c>
      <c r="D29" s="24">
        <v>0</v>
      </c>
      <c r="E29" s="24">
        <f>1666500+0.4</f>
        <v>1666500.4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2:11" ht="12" customHeight="1">
      <c r="B30" s="19" t="s">
        <v>255</v>
      </c>
      <c r="C30" s="19" t="s">
        <v>256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2:11" ht="12" customHeight="1">
      <c r="B31" s="19" t="s">
        <v>257</v>
      </c>
      <c r="C31" s="19" t="s">
        <v>275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2:11" ht="12" customHeight="1">
      <c r="B32" s="19" t="s">
        <v>258</v>
      </c>
      <c r="C32" s="19" t="s">
        <v>220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2:11" ht="12" customHeight="1">
      <c r="B33" s="19" t="s">
        <v>259</v>
      </c>
      <c r="C33" s="19" t="s">
        <v>276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2:11" ht="12" customHeight="1">
      <c r="B34" s="19" t="s">
        <v>260</v>
      </c>
      <c r="C34" s="19" t="s">
        <v>261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2:11" ht="12" customHeight="1">
      <c r="B35" s="19" t="s">
        <v>262</v>
      </c>
      <c r="C35" s="19" t="s">
        <v>161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2:11" ht="12" customHeight="1">
      <c r="B36" s="19" t="s">
        <v>263</v>
      </c>
      <c r="C36" s="19" t="s">
        <v>121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2:11" ht="12" customHeight="1">
      <c r="B37" s="19" t="s">
        <v>214</v>
      </c>
      <c r="C37" s="25" t="s">
        <v>162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2:11" ht="12" customHeight="1">
      <c r="B38" s="19" t="s">
        <v>264</v>
      </c>
      <c r="C38" s="19" t="s">
        <v>114</v>
      </c>
      <c r="D38" s="24">
        <v>0</v>
      </c>
      <c r="E38" s="24">
        <f>+E15</f>
        <v>45552811.6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2:11" ht="12" customHeight="1">
      <c r="B39" s="19" t="s">
        <v>265</v>
      </c>
      <c r="C39" s="19" t="s">
        <v>121</v>
      </c>
      <c r="D39" s="24">
        <v>0</v>
      </c>
      <c r="E39" s="24">
        <f>+E15+E16-E33-E29</f>
        <v>66106311.160000004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2:5" ht="15.75">
      <c r="B40" s="21" t="s">
        <v>216</v>
      </c>
      <c r="E40" s="67"/>
    </row>
    <row r="41" spans="2:6" ht="9.75" customHeight="1">
      <c r="B41" s="22" t="s">
        <v>209</v>
      </c>
      <c r="F41" s="67"/>
    </row>
    <row r="42" spans="2:5" ht="12.75" customHeight="1">
      <c r="B42" s="21"/>
      <c r="E42" s="184"/>
    </row>
    <row r="43" spans="2:11" ht="13.5" customHeight="1">
      <c r="B43" s="172" t="s">
        <v>277</v>
      </c>
      <c r="C43" s="173"/>
      <c r="D43" s="173"/>
      <c r="E43" s="173"/>
      <c r="F43" s="173"/>
      <c r="G43" s="173"/>
      <c r="H43" s="173"/>
      <c r="I43" s="173"/>
      <c r="J43" s="173"/>
      <c r="K43" s="173"/>
    </row>
    <row r="44" spans="8:9" ht="13.5" customHeight="1">
      <c r="H44" s="436" t="s">
        <v>1</v>
      </c>
      <c r="I44" s="436"/>
    </row>
    <row r="45" spans="2:9" ht="26.25" customHeight="1">
      <c r="B45" s="23" t="s">
        <v>112</v>
      </c>
      <c r="C45" s="23" t="s">
        <v>19</v>
      </c>
      <c r="D45" s="23" t="s">
        <v>278</v>
      </c>
      <c r="E45" s="23" t="s">
        <v>279</v>
      </c>
      <c r="F45" s="23" t="s">
        <v>280</v>
      </c>
      <c r="G45" s="23" t="s">
        <v>281</v>
      </c>
      <c r="H45" s="23" t="s">
        <v>280</v>
      </c>
      <c r="I45" s="23" t="s">
        <v>281</v>
      </c>
    </row>
    <row r="46" spans="2:9" ht="13.5" customHeight="1">
      <c r="B46" s="19" t="s">
        <v>212</v>
      </c>
      <c r="C46" s="19"/>
      <c r="D46" s="24" t="s">
        <v>270</v>
      </c>
      <c r="E46" s="24" t="s">
        <v>209</v>
      </c>
      <c r="F46" s="24">
        <v>10</v>
      </c>
      <c r="G46" s="24">
        <v>0</v>
      </c>
      <c r="H46" s="24">
        <v>10</v>
      </c>
      <c r="I46" s="24">
        <f>+G46</f>
        <v>0</v>
      </c>
    </row>
    <row r="47" spans="2:9" ht="13.5" customHeight="1">
      <c r="B47" s="19" t="s">
        <v>213</v>
      </c>
      <c r="C47" s="25" t="s">
        <v>118</v>
      </c>
      <c r="D47" s="24" t="s">
        <v>270</v>
      </c>
      <c r="E47" s="24" t="s">
        <v>209</v>
      </c>
      <c r="F47" s="24" t="s">
        <v>270</v>
      </c>
      <c r="G47" s="24" t="s">
        <v>270</v>
      </c>
      <c r="H47" s="24" t="s">
        <v>270</v>
      </c>
      <c r="I47" s="24" t="s">
        <v>270</v>
      </c>
    </row>
    <row r="48" ht="15.75">
      <c r="B48" s="21" t="s">
        <v>216</v>
      </c>
    </row>
    <row r="49" spans="2:4" ht="15">
      <c r="B49" s="22" t="s">
        <v>209</v>
      </c>
      <c r="D49" s="141" t="s">
        <v>420</v>
      </c>
    </row>
    <row r="50" spans="1:120" ht="15">
      <c r="A50" s="141" t="s">
        <v>209</v>
      </c>
      <c r="B50" s="141" t="s">
        <v>209</v>
      </c>
      <c r="C50" s="141" t="s">
        <v>209</v>
      </c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</row>
    <row r="51" spans="4:5" ht="15">
      <c r="D51" s="141" t="s">
        <v>419</v>
      </c>
      <c r="E51" s="22"/>
    </row>
    <row r="52" ht="15">
      <c r="E52" s="22"/>
    </row>
  </sheetData>
  <sheetProtection/>
  <mergeCells count="3">
    <mergeCell ref="F3:G3"/>
    <mergeCell ref="H44:I44"/>
    <mergeCell ref="BP50:DP50"/>
  </mergeCells>
  <hyperlinks>
    <hyperlink ref="B3" location="_ftnref1" display="_ftnref1"/>
  </hyperlinks>
  <printOptions/>
  <pageMargins left="0" right="0" top="0.4" bottom="0" header="0.31496062992125984" footer="0.31496062992125984"/>
  <pageSetup horizontalDpi="600" verticalDpi="600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N64"/>
  <sheetViews>
    <sheetView zoomScalePageLayoutView="0" workbookViewId="0" topLeftCell="A42">
      <selection activeCell="E58" sqref="E58"/>
    </sheetView>
  </sheetViews>
  <sheetFormatPr defaultColWidth="9.140625" defaultRowHeight="15"/>
  <cols>
    <col min="1" max="1" width="6.421875" style="141" customWidth="1"/>
    <col min="2" max="2" width="29.00390625" style="141" customWidth="1"/>
    <col min="3" max="3" width="18.28125" style="141" bestFit="1" customWidth="1"/>
    <col min="4" max="4" width="15.140625" style="141" customWidth="1"/>
    <col min="5" max="5" width="18.421875" style="141" bestFit="1" customWidth="1"/>
    <col min="6" max="6" width="20.00390625" style="141" bestFit="1" customWidth="1"/>
    <col min="7" max="7" width="12.421875" style="141" customWidth="1"/>
    <col min="8" max="8" width="13.8515625" style="141" customWidth="1"/>
    <col min="9" max="9" width="14.7109375" style="141" customWidth="1"/>
    <col min="10" max="19" width="17.421875" style="141" customWidth="1"/>
    <col min="20" max="16384" width="11.421875" style="141" customWidth="1"/>
  </cols>
  <sheetData>
    <row r="1" ht="14.25" customHeight="1">
      <c r="A1" s="21" t="s">
        <v>445</v>
      </c>
    </row>
    <row r="2" spans="1:7" ht="15.75">
      <c r="A2" s="172" t="s">
        <v>282</v>
      </c>
      <c r="B2" s="173"/>
      <c r="C2" s="173"/>
      <c r="D2" s="173"/>
      <c r="E2" s="173"/>
      <c r="F2" s="173"/>
      <c r="G2" s="173"/>
    </row>
    <row r="3" spans="5:6" ht="15">
      <c r="E3" s="436" t="s">
        <v>211</v>
      </c>
      <c r="F3" s="436"/>
    </row>
    <row r="4" spans="1:6" ht="45">
      <c r="A4" s="23" t="s">
        <v>112</v>
      </c>
      <c r="B4" s="23" t="s">
        <v>19</v>
      </c>
      <c r="C4" s="23" t="s">
        <v>164</v>
      </c>
      <c r="D4" s="23" t="s">
        <v>165</v>
      </c>
      <c r="E4" s="23" t="s">
        <v>164</v>
      </c>
      <c r="F4" s="23" t="s">
        <v>165</v>
      </c>
    </row>
    <row r="5" spans="1:6" ht="13.5" customHeight="1">
      <c r="A5" s="19" t="s">
        <v>212</v>
      </c>
      <c r="B5" s="19"/>
      <c r="C5" s="24">
        <v>100</v>
      </c>
      <c r="D5" s="24">
        <f>+'balance sheet'!D23</f>
        <v>1000000</v>
      </c>
      <c r="E5" s="24">
        <v>100</v>
      </c>
      <c r="F5" s="24">
        <f>+'balance sheet'!E23</f>
        <v>1000000</v>
      </c>
    </row>
    <row r="6" spans="1:6" ht="13.5" customHeight="1">
      <c r="A6" s="19" t="s">
        <v>209</v>
      </c>
      <c r="B6" s="25" t="s">
        <v>118</v>
      </c>
      <c r="C6" s="24" t="s">
        <v>270</v>
      </c>
      <c r="D6" s="24" t="s">
        <v>270</v>
      </c>
      <c r="E6" s="24" t="s">
        <v>270</v>
      </c>
      <c r="F6" s="24" t="s">
        <v>270</v>
      </c>
    </row>
    <row r="7" spans="1:118" ht="13.5" customHeight="1">
      <c r="A7" s="141" t="s">
        <v>209</v>
      </c>
      <c r="B7" s="141" t="s">
        <v>209</v>
      </c>
      <c r="C7" s="141" t="s">
        <v>209</v>
      </c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</row>
    <row r="8" ht="12" customHeight="1">
      <c r="A8" s="21" t="s">
        <v>445</v>
      </c>
    </row>
    <row r="9" spans="1:7" ht="13.5" customHeight="1">
      <c r="A9" s="172" t="s">
        <v>283</v>
      </c>
      <c r="B9" s="173"/>
      <c r="C9" s="173"/>
      <c r="D9" s="173"/>
      <c r="E9" s="173"/>
      <c r="F9" s="173"/>
      <c r="G9" s="173"/>
    </row>
    <row r="10" ht="13.5" customHeight="1">
      <c r="D10" s="22" t="s">
        <v>1</v>
      </c>
    </row>
    <row r="11" spans="1:4" ht="29.25" customHeight="1">
      <c r="A11" s="23" t="s">
        <v>112</v>
      </c>
      <c r="B11" s="23" t="s">
        <v>19</v>
      </c>
      <c r="C11" s="23" t="s">
        <v>645</v>
      </c>
      <c r="D11" s="23" t="s">
        <v>121</v>
      </c>
    </row>
    <row r="12" spans="1:4" ht="13.5" customHeight="1">
      <c r="A12" s="19" t="s">
        <v>212</v>
      </c>
      <c r="B12" s="19"/>
      <c r="C12" s="24">
        <v>0</v>
      </c>
      <c r="D12" s="24">
        <v>0</v>
      </c>
    </row>
    <row r="13" spans="1:4" ht="13.5" customHeight="1">
      <c r="A13" s="19" t="s">
        <v>209</v>
      </c>
      <c r="B13" s="25" t="s">
        <v>118</v>
      </c>
      <c r="C13" s="24">
        <v>0</v>
      </c>
      <c r="D13" s="24">
        <v>0</v>
      </c>
    </row>
    <row r="14" ht="13.5" customHeight="1">
      <c r="A14" s="21" t="s">
        <v>216</v>
      </c>
    </row>
    <row r="15" ht="13.5" customHeight="1">
      <c r="A15" s="22" t="s">
        <v>209</v>
      </c>
    </row>
    <row r="16" ht="13.5" customHeight="1">
      <c r="A16" s="21" t="s">
        <v>445</v>
      </c>
    </row>
    <row r="17" spans="1:7" ht="13.5" customHeight="1">
      <c r="A17" s="172" t="s">
        <v>284</v>
      </c>
      <c r="B17" s="173"/>
      <c r="C17" s="173"/>
      <c r="D17" s="173"/>
      <c r="E17" s="173"/>
      <c r="F17" s="173"/>
      <c r="G17" s="173"/>
    </row>
    <row r="18" ht="13.5" customHeight="1">
      <c r="D18" s="22" t="s">
        <v>1</v>
      </c>
    </row>
    <row r="19" spans="1:4" ht="33" customHeight="1">
      <c r="A19" s="23" t="s">
        <v>112</v>
      </c>
      <c r="B19" s="23" t="s">
        <v>19</v>
      </c>
      <c r="C19" s="23" t="s">
        <v>645</v>
      </c>
      <c r="D19" s="23" t="s">
        <v>121</v>
      </c>
    </row>
    <row r="20" spans="1:6" ht="13.5" customHeight="1">
      <c r="A20" s="19" t="s">
        <v>232</v>
      </c>
      <c r="B20" s="19" t="s">
        <v>285</v>
      </c>
      <c r="C20" s="24">
        <f>+'balance sheet'!D34</f>
        <v>1311720469.38</v>
      </c>
      <c r="D20" s="24">
        <f>+'balance sheet'!E34</f>
        <v>1663083023.78921</v>
      </c>
      <c r="E20" s="178">
        <f>+'balance sheet'!E34+'balance sheet'!E35</f>
        <v>1924586533.69101</v>
      </c>
      <c r="F20" s="179">
        <f>+E20-D20</f>
        <v>261503509.90179992</v>
      </c>
    </row>
    <row r="21" spans="1:4" ht="13.5" customHeight="1">
      <c r="A21" s="19" t="s">
        <v>219</v>
      </c>
      <c r="B21" s="19" t="s">
        <v>286</v>
      </c>
      <c r="C21" s="24"/>
      <c r="D21" s="24"/>
    </row>
    <row r="22" spans="1:4" ht="13.5" customHeight="1">
      <c r="A22" s="19" t="s">
        <v>287</v>
      </c>
      <c r="B22" s="19"/>
      <c r="C22" s="24"/>
      <c r="D22" s="24"/>
    </row>
    <row r="23" spans="1:4" ht="13.5" customHeight="1">
      <c r="A23" s="19" t="s">
        <v>209</v>
      </c>
      <c r="B23" s="25" t="s">
        <v>118</v>
      </c>
      <c r="C23" s="24">
        <f>SUM(C20:C22)</f>
        <v>1311720469.38</v>
      </c>
      <c r="D23" s="24">
        <f>SUM(D20:D22)</f>
        <v>1663083023.78921</v>
      </c>
    </row>
    <row r="24" spans="1:118" ht="13.5" customHeight="1">
      <c r="A24" s="141" t="s">
        <v>209</v>
      </c>
      <c r="B24" s="141" t="s">
        <v>209</v>
      </c>
      <c r="C24" s="141" t="s">
        <v>209</v>
      </c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ht="13.5" customHeight="1">
      <c r="A25" s="21" t="s">
        <v>445</v>
      </c>
    </row>
    <row r="26" spans="1:7" ht="13.5" customHeight="1">
      <c r="A26" s="172" t="s">
        <v>288</v>
      </c>
      <c r="B26" s="173"/>
      <c r="C26" s="173"/>
      <c r="D26" s="173"/>
      <c r="E26" s="173"/>
      <c r="F26" s="173"/>
      <c r="G26" s="173"/>
    </row>
    <row r="27" ht="13.5" customHeight="1">
      <c r="D27" s="22" t="s">
        <v>1</v>
      </c>
    </row>
    <row r="28" spans="1:4" ht="24.75" customHeight="1">
      <c r="A28" s="23" t="s">
        <v>112</v>
      </c>
      <c r="B28" s="23" t="s">
        <v>19</v>
      </c>
      <c r="C28" s="23" t="s">
        <v>645</v>
      </c>
      <c r="D28" s="23" t="s">
        <v>121</v>
      </c>
    </row>
    <row r="29" spans="1:5" ht="13.5" customHeight="1">
      <c r="A29" s="19" t="s">
        <v>232</v>
      </c>
      <c r="B29" s="19" t="s">
        <v>166</v>
      </c>
      <c r="C29" s="183">
        <v>317726000.13</v>
      </c>
      <c r="D29" s="183">
        <v>445841454.31</v>
      </c>
      <c r="E29" s="220"/>
    </row>
    <row r="30" spans="1:5" ht="13.5" customHeight="1">
      <c r="A30" s="19" t="s">
        <v>219</v>
      </c>
      <c r="B30" s="19" t="s">
        <v>289</v>
      </c>
      <c r="C30" s="183">
        <v>458642582.92</v>
      </c>
      <c r="D30" s="183">
        <v>1015545199.27</v>
      </c>
      <c r="E30" s="220"/>
    </row>
    <row r="31" spans="1:5" ht="13.5" customHeight="1">
      <c r="A31" s="19" t="s">
        <v>287</v>
      </c>
      <c r="B31" s="19" t="s">
        <v>290</v>
      </c>
      <c r="C31" s="183">
        <v>79736671.26</v>
      </c>
      <c r="D31" s="183">
        <v>280847485.44</v>
      </c>
      <c r="E31" s="220"/>
    </row>
    <row r="32" spans="1:5" ht="13.5" customHeight="1">
      <c r="A32" s="19" t="s">
        <v>291</v>
      </c>
      <c r="B32" s="19" t="s">
        <v>623</v>
      </c>
      <c r="C32" s="183">
        <v>33437050</v>
      </c>
      <c r="D32" s="183">
        <v>285099711.2</v>
      </c>
      <c r="E32" s="220"/>
    </row>
    <row r="33" spans="1:5" ht="13.5" customHeight="1">
      <c r="A33" s="19" t="s">
        <v>293</v>
      </c>
      <c r="B33" s="19" t="s">
        <v>167</v>
      </c>
      <c r="C33" s="183"/>
      <c r="D33" s="183">
        <v>720000</v>
      </c>
      <c r="E33" s="220"/>
    </row>
    <row r="34" spans="1:4" ht="13.5" customHeight="1">
      <c r="A34" s="19" t="s">
        <v>294</v>
      </c>
      <c r="B34" s="19" t="s">
        <v>624</v>
      </c>
      <c r="C34" s="183"/>
      <c r="D34" s="183"/>
    </row>
    <row r="35" spans="1:4" ht="13.5" customHeight="1">
      <c r="A35" s="19" t="s">
        <v>209</v>
      </c>
      <c r="B35" s="25" t="s">
        <v>118</v>
      </c>
      <c r="C35" s="183">
        <f>SUM(C29:C34)</f>
        <v>889542304.31</v>
      </c>
      <c r="D35" s="183">
        <f>SUM(D29:D34)</f>
        <v>2028053850.22</v>
      </c>
    </row>
    <row r="36" spans="1:118" ht="13.5" customHeight="1">
      <c r="A36" s="141" t="s">
        <v>209</v>
      </c>
      <c r="B36" s="141" t="s">
        <v>209</v>
      </c>
      <c r="C36" s="67"/>
      <c r="D36" s="67"/>
      <c r="E36" s="184"/>
      <c r="F36" s="184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</row>
    <row r="37" ht="13.5" customHeight="1">
      <c r="A37" s="21" t="s">
        <v>445</v>
      </c>
    </row>
    <row r="38" spans="1:7" ht="13.5" customHeight="1">
      <c r="A38" s="172" t="s">
        <v>295</v>
      </c>
      <c r="B38" s="173"/>
      <c r="C38" s="173"/>
      <c r="D38" s="173"/>
      <c r="E38" s="173"/>
      <c r="F38" s="173"/>
      <c r="G38" s="173"/>
    </row>
    <row r="39" spans="5:6" ht="13.5" customHeight="1">
      <c r="E39" s="436" t="s">
        <v>1</v>
      </c>
      <c r="F39" s="436"/>
    </row>
    <row r="40" spans="1:6" ht="13.5" customHeight="1">
      <c r="A40" s="23" t="s">
        <v>112</v>
      </c>
      <c r="B40" s="23" t="s">
        <v>19</v>
      </c>
      <c r="C40" s="23" t="s">
        <v>168</v>
      </c>
      <c r="D40" s="23" t="s">
        <v>169</v>
      </c>
      <c r="E40" s="23" t="s">
        <v>168</v>
      </c>
      <c r="F40" s="23" t="s">
        <v>169</v>
      </c>
    </row>
    <row r="41" spans="1:7" ht="13.5" customHeight="1">
      <c r="A41" s="19" t="s">
        <v>232</v>
      </c>
      <c r="B41" s="19" t="s">
        <v>285</v>
      </c>
      <c r="C41" s="24">
        <f>+'balance sheet'!D38</f>
        <v>1199040800</v>
      </c>
      <c r="D41" s="24">
        <v>0</v>
      </c>
      <c r="E41" s="24">
        <f>+'balance sheet'!E38</f>
        <v>1270602877.8</v>
      </c>
      <c r="F41" s="24">
        <v>0</v>
      </c>
      <c r="G41" s="220"/>
    </row>
    <row r="42" spans="1:7" ht="13.5" customHeight="1">
      <c r="A42" s="19" t="s">
        <v>219</v>
      </c>
      <c r="B42" s="19" t="s">
        <v>286</v>
      </c>
      <c r="C42" s="24">
        <v>0</v>
      </c>
      <c r="D42" s="24">
        <v>0</v>
      </c>
      <c r="E42" s="24">
        <v>0</v>
      </c>
      <c r="F42" s="24">
        <v>0</v>
      </c>
      <c r="G42" s="220"/>
    </row>
    <row r="43" spans="1:7" ht="13.5" customHeight="1">
      <c r="A43" s="19" t="s">
        <v>287</v>
      </c>
      <c r="B43" s="19"/>
      <c r="C43" s="24">
        <v>0</v>
      </c>
      <c r="D43" s="24">
        <v>0</v>
      </c>
      <c r="E43" s="24">
        <v>0</v>
      </c>
      <c r="F43" s="24">
        <v>0</v>
      </c>
      <c r="G43" s="220"/>
    </row>
    <row r="44" spans="1:7" ht="13.5" customHeight="1">
      <c r="A44" s="19" t="s">
        <v>209</v>
      </c>
      <c r="B44" s="25" t="s">
        <v>118</v>
      </c>
      <c r="C44" s="24">
        <f>SUM(C41:C43)</f>
        <v>1199040800</v>
      </c>
      <c r="D44" s="24">
        <f>SUM(D41:D43)</f>
        <v>0</v>
      </c>
      <c r="E44" s="24">
        <f>SUM(E41:E43)</f>
        <v>1270602877.8</v>
      </c>
      <c r="F44" s="24">
        <v>0</v>
      </c>
      <c r="G44" s="220"/>
    </row>
    <row r="45" spans="1:118" ht="13.5" customHeight="1">
      <c r="A45" s="141" t="s">
        <v>209</v>
      </c>
      <c r="B45" s="141" t="s">
        <v>209</v>
      </c>
      <c r="C45" s="141" t="s">
        <v>209</v>
      </c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</row>
    <row r="46" ht="13.5" customHeight="1">
      <c r="A46" s="21" t="s">
        <v>445</v>
      </c>
    </row>
    <row r="47" spans="1:7" ht="13.5" customHeight="1">
      <c r="A47" s="172" t="s">
        <v>296</v>
      </c>
      <c r="B47" s="173"/>
      <c r="C47" s="173"/>
      <c r="D47" s="173"/>
      <c r="E47" s="173"/>
      <c r="F47" s="173"/>
      <c r="G47" s="173"/>
    </row>
    <row r="48" spans="6:7" ht="13.5" customHeight="1">
      <c r="F48" s="436" t="s">
        <v>1</v>
      </c>
      <c r="G48" s="436"/>
    </row>
    <row r="49" spans="1:7" ht="42.75" customHeight="1">
      <c r="A49" s="23" t="s">
        <v>112</v>
      </c>
      <c r="B49" s="23" t="s">
        <v>19</v>
      </c>
      <c r="C49" s="23" t="s">
        <v>645</v>
      </c>
      <c r="D49" s="23" t="s">
        <v>120</v>
      </c>
      <c r="E49" s="23" t="s">
        <v>297</v>
      </c>
      <c r="F49" s="23" t="s">
        <v>298</v>
      </c>
      <c r="G49" s="23" t="s">
        <v>121</v>
      </c>
    </row>
    <row r="50" spans="1:7" ht="13.5" customHeight="1">
      <c r="A50" s="19" t="s">
        <v>232</v>
      </c>
      <c r="B50" s="19" t="s">
        <v>170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3.5" customHeight="1">
      <c r="A51" s="19" t="s">
        <v>219</v>
      </c>
      <c r="B51" s="19" t="s">
        <v>171</v>
      </c>
      <c r="C51" s="24">
        <f>+'balance sheet'!D42</f>
        <v>0</v>
      </c>
      <c r="D51" s="24">
        <f>+'[12]ST-1'!E52</f>
        <v>0</v>
      </c>
      <c r="E51" s="24">
        <v>0</v>
      </c>
      <c r="F51" s="24">
        <v>0</v>
      </c>
      <c r="G51" s="24">
        <f>+D51</f>
        <v>0</v>
      </c>
    </row>
    <row r="52" spans="1:7" ht="10.5" customHeight="1">
      <c r="A52" s="19" t="s">
        <v>287</v>
      </c>
      <c r="B52" s="19"/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3.5" customHeight="1">
      <c r="A53" s="19" t="s">
        <v>209</v>
      </c>
      <c r="B53" s="25" t="s">
        <v>118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ht="13.5" customHeight="1">
      <c r="A54" s="21" t="s">
        <v>216</v>
      </c>
    </row>
    <row r="55" ht="13.5" customHeight="1">
      <c r="A55" s="22" t="s">
        <v>209</v>
      </c>
    </row>
    <row r="56" ht="13.5" customHeight="1">
      <c r="A56" s="21" t="s">
        <v>445</v>
      </c>
    </row>
    <row r="57" spans="1:7" ht="13.5" customHeight="1">
      <c r="A57" s="172" t="s">
        <v>299</v>
      </c>
      <c r="B57" s="173"/>
      <c r="C57" s="173"/>
      <c r="D57" s="173"/>
      <c r="E57" s="173"/>
      <c r="F57" s="173"/>
      <c r="G57" s="173"/>
    </row>
    <row r="58" ht="13.5" customHeight="1">
      <c r="D58" s="22" t="s">
        <v>1</v>
      </c>
    </row>
    <row r="59" spans="1:4" ht="26.25" customHeight="1">
      <c r="A59" s="23" t="s">
        <v>112</v>
      </c>
      <c r="B59" s="23" t="s">
        <v>19</v>
      </c>
      <c r="C59" s="23" t="s">
        <v>645</v>
      </c>
      <c r="D59" s="23" t="s">
        <v>121</v>
      </c>
    </row>
    <row r="60" spans="1:5" ht="13.5" customHeight="1">
      <c r="A60" s="19" t="s">
        <v>232</v>
      </c>
      <c r="B60" s="19"/>
      <c r="C60" s="24">
        <f>+'balance sheet'!D43</f>
        <v>31959302.47</v>
      </c>
      <c r="D60" s="24">
        <f>+'balance sheet'!E43</f>
        <v>30194197.44</v>
      </c>
      <c r="E60" s="220"/>
    </row>
    <row r="61" spans="1:4" ht="13.5" customHeight="1">
      <c r="A61" s="19" t="s">
        <v>209</v>
      </c>
      <c r="B61" s="25" t="s">
        <v>118</v>
      </c>
      <c r="C61" s="24">
        <v>0</v>
      </c>
      <c r="D61" s="24">
        <v>0</v>
      </c>
    </row>
    <row r="62" ht="13.5" customHeight="1">
      <c r="A62" s="21" t="s">
        <v>216</v>
      </c>
    </row>
    <row r="63" spans="1:2" ht="15">
      <c r="A63" s="22" t="s">
        <v>209</v>
      </c>
      <c r="B63" s="141" t="s">
        <v>420</v>
      </c>
    </row>
    <row r="64" spans="1:118" ht="15">
      <c r="A64" s="141" t="s">
        <v>209</v>
      </c>
      <c r="B64" s="141" t="s">
        <v>419</v>
      </c>
      <c r="C64" s="141" t="s">
        <v>209</v>
      </c>
      <c r="BN64" s="426"/>
      <c r="BO64" s="426"/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/>
      <c r="CX64" s="426"/>
      <c r="CY64" s="426"/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</row>
  </sheetData>
  <sheetProtection/>
  <mergeCells count="8">
    <mergeCell ref="F48:G48"/>
    <mergeCell ref="BN64:DN64"/>
    <mergeCell ref="E3:F3"/>
    <mergeCell ref="BN7:DN7"/>
    <mergeCell ref="BN24:DN24"/>
    <mergeCell ref="BN36:DN36"/>
    <mergeCell ref="E39:F39"/>
    <mergeCell ref="BN45:DN45"/>
  </mergeCells>
  <printOptions/>
  <pageMargins left="0.36" right="0.15748031496063" top="0" bottom="0" header="0.15748031496063" footer="0.15748031496063"/>
  <pageSetup horizontalDpi="600" verticalDpi="6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P95"/>
  <sheetViews>
    <sheetView zoomScalePageLayoutView="0" workbookViewId="0" topLeftCell="A70">
      <selection activeCell="E70" sqref="D70:E70"/>
    </sheetView>
  </sheetViews>
  <sheetFormatPr defaultColWidth="9.140625" defaultRowHeight="15"/>
  <cols>
    <col min="1" max="1" width="7.421875" style="141" customWidth="1"/>
    <col min="2" max="2" width="6.421875" style="141" customWidth="1"/>
    <col min="3" max="3" width="54.421875" style="141" customWidth="1"/>
    <col min="4" max="4" width="22.8515625" style="141" bestFit="1" customWidth="1"/>
    <col min="5" max="5" width="18.140625" style="141" customWidth="1"/>
    <col min="6" max="6" width="17.8515625" style="141" bestFit="1" customWidth="1"/>
    <col min="7" max="7" width="12.28125" style="141" customWidth="1"/>
    <col min="8" max="8" width="15.421875" style="141" bestFit="1" customWidth="1"/>
    <col min="9" max="9" width="13.00390625" style="141" customWidth="1"/>
    <col min="10" max="10" width="13.8515625" style="141" customWidth="1"/>
    <col min="11" max="11" width="14.7109375" style="141" customWidth="1"/>
    <col min="12" max="21" width="17.421875" style="141" customWidth="1"/>
    <col min="22" max="16384" width="11.421875" style="141" customWidth="1"/>
  </cols>
  <sheetData>
    <row r="1" ht="15.75" customHeight="1">
      <c r="B1" s="21" t="s">
        <v>445</v>
      </c>
    </row>
    <row r="2" spans="2:8" ht="15.75" customHeight="1">
      <c r="B2" s="172" t="s">
        <v>300</v>
      </c>
      <c r="C2" s="173"/>
      <c r="D2" s="173"/>
      <c r="E2" s="173"/>
      <c r="F2" s="173"/>
      <c r="G2" s="173"/>
      <c r="H2" s="173"/>
    </row>
    <row r="3" spans="6:7" ht="15.75" customHeight="1">
      <c r="F3" s="436" t="s">
        <v>1</v>
      </c>
      <c r="G3" s="436"/>
    </row>
    <row r="4" spans="2:8" ht="15.75" customHeight="1">
      <c r="B4" s="23" t="s">
        <v>112</v>
      </c>
      <c r="C4" s="34" t="s">
        <v>19</v>
      </c>
      <c r="D4" s="34" t="s">
        <v>168</v>
      </c>
      <c r="E4" s="34" t="s">
        <v>169</v>
      </c>
      <c r="F4" s="34" t="s">
        <v>168</v>
      </c>
      <c r="G4" s="34" t="s">
        <v>169</v>
      </c>
      <c r="H4" s="220"/>
    </row>
    <row r="5" spans="2:8" ht="15.75" customHeight="1">
      <c r="B5" s="19" t="s">
        <v>232</v>
      </c>
      <c r="C5" s="19" t="s">
        <v>172</v>
      </c>
      <c r="D5" s="24">
        <f>+D8</f>
        <v>10295048705.4</v>
      </c>
      <c r="E5" s="24">
        <v>0</v>
      </c>
      <c r="F5" s="24">
        <f>+F8</f>
        <v>9777219660.3668</v>
      </c>
      <c r="G5" s="24">
        <v>0</v>
      </c>
      <c r="H5" s="220"/>
    </row>
    <row r="6" spans="2:8" ht="15.75" customHeight="1">
      <c r="B6" s="19" t="s">
        <v>301</v>
      </c>
      <c r="C6" s="19" t="s">
        <v>173</v>
      </c>
      <c r="D6" s="24">
        <v>0</v>
      </c>
      <c r="E6" s="24">
        <v>0</v>
      </c>
      <c r="F6" s="24">
        <v>0</v>
      </c>
      <c r="G6" s="24">
        <v>0</v>
      </c>
      <c r="H6" s="220"/>
    </row>
    <row r="7" spans="2:8" ht="15.75" customHeight="1">
      <c r="B7" s="19" t="s">
        <v>302</v>
      </c>
      <c r="C7" s="19" t="s">
        <v>174</v>
      </c>
      <c r="D7" s="24">
        <v>0</v>
      </c>
      <c r="E7" s="24">
        <v>0</v>
      </c>
      <c r="F7" s="24">
        <v>0</v>
      </c>
      <c r="G7" s="24">
        <v>0</v>
      </c>
      <c r="H7" s="220"/>
    </row>
    <row r="8" spans="2:8" ht="15">
      <c r="B8" s="19" t="s">
        <v>303</v>
      </c>
      <c r="C8" s="19" t="s">
        <v>175</v>
      </c>
      <c r="D8" s="24">
        <f>+'balance sheet'!D47</f>
        <v>10295048705.4</v>
      </c>
      <c r="E8" s="24">
        <v>0</v>
      </c>
      <c r="F8" s="24">
        <f>+'balance sheet'!E47</f>
        <v>9777219660.3668</v>
      </c>
      <c r="G8" s="24">
        <v>0</v>
      </c>
      <c r="H8" s="220"/>
    </row>
    <row r="9" spans="2:8" ht="12" customHeight="1">
      <c r="B9" s="19" t="s">
        <v>219</v>
      </c>
      <c r="C9" s="19" t="s">
        <v>304</v>
      </c>
      <c r="D9" s="24">
        <v>0</v>
      </c>
      <c r="E9" s="24">
        <v>0</v>
      </c>
      <c r="F9" s="24">
        <v>0</v>
      </c>
      <c r="G9" s="24">
        <v>0</v>
      </c>
      <c r="H9" s="220"/>
    </row>
    <row r="10" spans="2:8" ht="13.5" customHeight="1">
      <c r="B10" s="19" t="s">
        <v>305</v>
      </c>
      <c r="C10" s="19" t="s">
        <v>306</v>
      </c>
      <c r="D10" s="24">
        <v>0</v>
      </c>
      <c r="E10" s="24">
        <v>0</v>
      </c>
      <c r="F10" s="24">
        <v>0</v>
      </c>
      <c r="G10" s="24">
        <v>0</v>
      </c>
      <c r="H10" s="220"/>
    </row>
    <row r="11" spans="2:8" ht="13.5" customHeight="1">
      <c r="B11" s="19" t="s">
        <v>307</v>
      </c>
      <c r="C11" s="19"/>
      <c r="D11" s="24">
        <v>0</v>
      </c>
      <c r="E11" s="24">
        <v>0</v>
      </c>
      <c r="F11" s="24">
        <v>0</v>
      </c>
      <c r="G11" s="24">
        <v>0</v>
      </c>
      <c r="H11" s="220"/>
    </row>
    <row r="12" spans="2:8" ht="13.5" customHeight="1">
      <c r="B12" s="21" t="s">
        <v>216</v>
      </c>
      <c r="H12" s="220"/>
    </row>
    <row r="13" spans="2:8" ht="13.5" customHeight="1">
      <c r="B13" s="22" t="s">
        <v>209</v>
      </c>
      <c r="H13" s="220"/>
    </row>
    <row r="14" spans="2:8" ht="13.5" customHeight="1">
      <c r="B14" s="21" t="s">
        <v>445</v>
      </c>
      <c r="H14" s="220"/>
    </row>
    <row r="15" spans="2:8" ht="13.5" customHeight="1">
      <c r="B15" s="172" t="s">
        <v>308</v>
      </c>
      <c r="C15" s="173"/>
      <c r="D15" s="173"/>
      <c r="E15" s="173"/>
      <c r="F15" s="173"/>
      <c r="G15" s="173"/>
      <c r="H15" s="173"/>
    </row>
    <row r="16" spans="7:8" ht="13.5" customHeight="1">
      <c r="G16" s="436" t="s">
        <v>1</v>
      </c>
      <c r="H16" s="436"/>
    </row>
    <row r="17" spans="2:8" ht="25.5" customHeight="1">
      <c r="B17" s="23" t="s">
        <v>112</v>
      </c>
      <c r="C17" s="23" t="s">
        <v>19</v>
      </c>
      <c r="D17" s="34" t="s">
        <v>309</v>
      </c>
      <c r="E17" s="34" t="s">
        <v>176</v>
      </c>
      <c r="F17" s="34" t="s">
        <v>309</v>
      </c>
      <c r="G17" s="34" t="s">
        <v>176</v>
      </c>
      <c r="H17" s="34" t="s">
        <v>310</v>
      </c>
    </row>
    <row r="18" spans="2:8" ht="12.75" customHeight="1">
      <c r="B18" s="19" t="s">
        <v>232</v>
      </c>
      <c r="C18" s="19" t="s">
        <v>114</v>
      </c>
      <c r="D18" s="24">
        <v>0</v>
      </c>
      <c r="E18" s="24">
        <f>+'balance sheet'!D56</f>
        <v>3753574900</v>
      </c>
      <c r="F18" s="24">
        <v>0</v>
      </c>
      <c r="G18" s="24">
        <v>0</v>
      </c>
      <c r="H18" s="24">
        <f>SUM(D18:G18)</f>
        <v>3753574900</v>
      </c>
    </row>
    <row r="19" spans="2:8" ht="12.75" customHeight="1">
      <c r="B19" s="19" t="s">
        <v>213</v>
      </c>
      <c r="C19" s="19" t="s">
        <v>120</v>
      </c>
      <c r="D19" s="24">
        <v>0</v>
      </c>
      <c r="E19" s="24"/>
      <c r="F19" s="24">
        <v>0</v>
      </c>
      <c r="G19" s="24">
        <v>0</v>
      </c>
      <c r="H19" s="24">
        <f>SUM(D19:G19)</f>
        <v>0</v>
      </c>
    </row>
    <row r="20" spans="2:9" ht="12.75" customHeight="1">
      <c r="B20" s="19" t="s">
        <v>287</v>
      </c>
      <c r="C20" s="19" t="s">
        <v>220</v>
      </c>
      <c r="D20" s="24">
        <v>0</v>
      </c>
      <c r="E20" s="24">
        <v>1506369085</v>
      </c>
      <c r="F20" s="24">
        <v>0</v>
      </c>
      <c r="G20" s="24">
        <v>0</v>
      </c>
      <c r="H20" s="24">
        <f>SUM(D20:G20)</f>
        <v>1506369085</v>
      </c>
      <c r="I20" s="223"/>
    </row>
    <row r="21" spans="2:9" ht="12.75" customHeight="1">
      <c r="B21" s="19" t="s">
        <v>291</v>
      </c>
      <c r="C21" s="19" t="s">
        <v>121</v>
      </c>
      <c r="D21" s="24">
        <f>+D18+D19-D20</f>
        <v>0</v>
      </c>
      <c r="E21" s="24">
        <f>+E18+E19-E20</f>
        <v>2247205815</v>
      </c>
      <c r="F21" s="24">
        <f>+F18+F19-F20</f>
        <v>0</v>
      </c>
      <c r="G21" s="24">
        <f>+G18+G19-G20</f>
        <v>0</v>
      </c>
      <c r="H21" s="24">
        <f>+H18+H19-H20</f>
        <v>2247205815</v>
      </c>
      <c r="I21" s="223"/>
    </row>
    <row r="22" spans="1:120" ht="12.75" customHeight="1">
      <c r="A22" s="141" t="s">
        <v>209</v>
      </c>
      <c r="B22" s="141" t="s">
        <v>209</v>
      </c>
      <c r="C22" s="141" t="s">
        <v>209</v>
      </c>
      <c r="D22" s="141" t="s">
        <v>209</v>
      </c>
      <c r="E22" s="67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</row>
    <row r="23" ht="12.75" customHeight="1">
      <c r="B23" s="21" t="s">
        <v>445</v>
      </c>
    </row>
    <row r="24" spans="2:8" ht="13.5" customHeight="1">
      <c r="B24" s="172" t="s">
        <v>311</v>
      </c>
      <c r="C24" s="173"/>
      <c r="D24" s="173"/>
      <c r="E24" s="177"/>
      <c r="F24" s="173"/>
      <c r="G24" s="173"/>
      <c r="H24" s="173"/>
    </row>
    <row r="25" spans="5:6" ht="17.25" customHeight="1">
      <c r="E25" s="436" t="s">
        <v>1</v>
      </c>
      <c r="F25" s="436"/>
    </row>
    <row r="26" spans="2:6" ht="42" customHeight="1">
      <c r="B26" s="23" t="s">
        <v>112</v>
      </c>
      <c r="C26" s="34" t="s">
        <v>19</v>
      </c>
      <c r="D26" s="34" t="s">
        <v>177</v>
      </c>
      <c r="E26" s="34" t="s">
        <v>178</v>
      </c>
      <c r="F26" s="34" t="s">
        <v>118</v>
      </c>
    </row>
    <row r="27" spans="2:6" ht="13.5" customHeight="1">
      <c r="B27" s="19" t="s">
        <v>212</v>
      </c>
      <c r="C27" s="19" t="s">
        <v>114</v>
      </c>
      <c r="D27" s="24">
        <f>+'balance sheet'!D60</f>
        <v>19334524604</v>
      </c>
      <c r="E27" s="24">
        <v>0</v>
      </c>
      <c r="F27" s="24">
        <f>+D27</f>
        <v>19334524604</v>
      </c>
    </row>
    <row r="28" spans="2:6" ht="13.5" customHeight="1">
      <c r="B28" s="19" t="s">
        <v>213</v>
      </c>
      <c r="C28" s="19" t="s">
        <v>131</v>
      </c>
      <c r="D28" s="24"/>
      <c r="E28" s="24"/>
      <c r="F28" s="24"/>
    </row>
    <row r="29" spans="2:6" ht="13.5" customHeight="1">
      <c r="B29" s="19" t="s">
        <v>305</v>
      </c>
      <c r="C29" s="19" t="s">
        <v>179</v>
      </c>
      <c r="D29" s="24"/>
      <c r="E29" s="24"/>
      <c r="F29" s="24"/>
    </row>
    <row r="30" spans="2:6" ht="13.5" customHeight="1">
      <c r="B30" s="19" t="s">
        <v>307</v>
      </c>
      <c r="C30" s="28" t="s">
        <v>312</v>
      </c>
      <c r="D30" s="24"/>
      <c r="E30" s="24"/>
      <c r="F30" s="24"/>
    </row>
    <row r="31" spans="2:6" ht="13.5" customHeight="1">
      <c r="B31" s="19" t="s">
        <v>214</v>
      </c>
      <c r="C31" s="19" t="s">
        <v>152</v>
      </c>
      <c r="D31" s="24"/>
      <c r="E31" s="24"/>
      <c r="F31" s="24"/>
    </row>
    <row r="32" spans="2:6" ht="13.5" customHeight="1">
      <c r="B32" s="19" t="s">
        <v>221</v>
      </c>
      <c r="C32" s="19" t="s">
        <v>179</v>
      </c>
      <c r="D32" s="24"/>
      <c r="E32" s="24"/>
      <c r="F32" s="24"/>
    </row>
    <row r="33" spans="2:6" ht="13.5" customHeight="1">
      <c r="B33" s="19" t="s">
        <v>223</v>
      </c>
      <c r="C33" s="19" t="s">
        <v>113</v>
      </c>
      <c r="D33" s="24"/>
      <c r="E33" s="24"/>
      <c r="F33" s="24"/>
    </row>
    <row r="34" spans="2:6" ht="13.5" customHeight="1">
      <c r="B34" s="19" t="s">
        <v>313</v>
      </c>
      <c r="C34" s="19" t="s">
        <v>314</v>
      </c>
      <c r="D34" s="24"/>
      <c r="E34" s="24"/>
      <c r="F34" s="24"/>
    </row>
    <row r="35" spans="2:6" ht="13.5" customHeight="1">
      <c r="B35" s="19" t="s">
        <v>215</v>
      </c>
      <c r="C35" s="25" t="s">
        <v>121</v>
      </c>
      <c r="D35" s="253">
        <f>+D27</f>
        <v>19334524604</v>
      </c>
      <c r="E35" s="253">
        <v>0</v>
      </c>
      <c r="F35" s="253">
        <f>+D35</f>
        <v>19334524604</v>
      </c>
    </row>
    <row r="36" spans="1:120" ht="19.5" customHeight="1">
      <c r="A36" s="141" t="s">
        <v>209</v>
      </c>
      <c r="B36" s="141" t="s">
        <v>209</v>
      </c>
      <c r="C36" s="141" t="s">
        <v>209</v>
      </c>
      <c r="D36" s="141" t="s">
        <v>209</v>
      </c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</row>
    <row r="37" ht="15" customHeight="1">
      <c r="B37" s="21" t="s">
        <v>445</v>
      </c>
    </row>
    <row r="38" spans="2:8" ht="15" customHeight="1">
      <c r="B38" s="172" t="s">
        <v>315</v>
      </c>
      <c r="C38" s="173"/>
      <c r="D38" s="173"/>
      <c r="E38" s="173"/>
      <c r="F38" s="173"/>
      <c r="G38" s="173"/>
      <c r="H38" s="173"/>
    </row>
    <row r="39" spans="6:7" ht="15" customHeight="1">
      <c r="F39" s="436" t="s">
        <v>1</v>
      </c>
      <c r="G39" s="436"/>
    </row>
    <row r="40" spans="2:7" ht="30">
      <c r="B40" s="23" t="s">
        <v>112</v>
      </c>
      <c r="C40" s="23" t="s">
        <v>19</v>
      </c>
      <c r="D40" s="23" t="s">
        <v>121</v>
      </c>
      <c r="E40" s="23" t="s">
        <v>120</v>
      </c>
      <c r="F40" s="23" t="s">
        <v>220</v>
      </c>
      <c r="G40" s="23" t="s">
        <v>121</v>
      </c>
    </row>
    <row r="41" spans="2:7" ht="13.5" customHeight="1">
      <c r="B41" s="19" t="s">
        <v>212</v>
      </c>
      <c r="C41" s="19" t="s">
        <v>180</v>
      </c>
      <c r="D41" s="24">
        <v>0</v>
      </c>
      <c r="E41" s="24">
        <v>0</v>
      </c>
      <c r="F41" s="24">
        <v>0</v>
      </c>
      <c r="G41" s="24">
        <v>0</v>
      </c>
    </row>
    <row r="42" spans="2:7" ht="13.5" customHeight="1">
      <c r="B42" s="19" t="s">
        <v>213</v>
      </c>
      <c r="C42" s="28" t="s">
        <v>181</v>
      </c>
      <c r="D42" s="24">
        <v>0</v>
      </c>
      <c r="E42" s="24">
        <v>0</v>
      </c>
      <c r="F42" s="24">
        <v>0</v>
      </c>
      <c r="G42" s="24">
        <v>0</v>
      </c>
    </row>
    <row r="43" spans="2:7" ht="15">
      <c r="B43" s="19" t="s">
        <v>213</v>
      </c>
      <c r="C43" s="19" t="s">
        <v>142</v>
      </c>
      <c r="D43" s="24">
        <v>0</v>
      </c>
      <c r="E43" s="24">
        <v>0</v>
      </c>
      <c r="F43" s="24">
        <v>0</v>
      </c>
      <c r="G43" s="24">
        <v>0</v>
      </c>
    </row>
    <row r="44" spans="2:7" ht="15">
      <c r="B44" s="19" t="s">
        <v>213</v>
      </c>
      <c r="C44" s="25" t="s">
        <v>118</v>
      </c>
      <c r="D44" s="24">
        <v>0</v>
      </c>
      <c r="E44" s="24">
        <v>0</v>
      </c>
      <c r="F44" s="24">
        <v>0</v>
      </c>
      <c r="G44" s="24">
        <v>0</v>
      </c>
    </row>
    <row r="45" spans="1:120" ht="15">
      <c r="A45" s="141" t="s">
        <v>209</v>
      </c>
      <c r="B45" s="141" t="s">
        <v>209</v>
      </c>
      <c r="C45" s="141" t="s">
        <v>209</v>
      </c>
      <c r="D45" s="141" t="s">
        <v>209</v>
      </c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</row>
    <row r="46" ht="15.75">
      <c r="B46" s="21" t="s">
        <v>445</v>
      </c>
    </row>
    <row r="47" spans="2:8" ht="15.75">
      <c r="B47" s="172" t="s">
        <v>316</v>
      </c>
      <c r="C47" s="173"/>
      <c r="D47" s="173"/>
      <c r="E47" s="173"/>
      <c r="F47" s="173"/>
      <c r="G47" s="173"/>
      <c r="H47" s="173"/>
    </row>
    <row r="48" spans="4:5" ht="12.75" customHeight="1">
      <c r="D48" s="436" t="s">
        <v>1</v>
      </c>
      <c r="E48" s="436"/>
    </row>
    <row r="49" spans="2:5" ht="26.25" customHeight="1">
      <c r="B49" s="23" t="s">
        <v>112</v>
      </c>
      <c r="C49" s="23" t="s">
        <v>19</v>
      </c>
      <c r="D49" s="23" t="s">
        <v>114</v>
      </c>
      <c r="E49" s="23" t="s">
        <v>121</v>
      </c>
    </row>
    <row r="50" spans="2:5" ht="15" customHeight="1">
      <c r="B50" s="19" t="s">
        <v>232</v>
      </c>
      <c r="C50" s="19" t="s">
        <v>183</v>
      </c>
      <c r="D50" s="24"/>
      <c r="E50" s="24"/>
    </row>
    <row r="51" spans="2:6" ht="15" customHeight="1">
      <c r="B51" s="19" t="s">
        <v>301</v>
      </c>
      <c r="C51" s="19" t="s">
        <v>317</v>
      </c>
      <c r="D51" s="222">
        <f>+'income statement'!D6-D53</f>
        <v>20254732686.170002</v>
      </c>
      <c r="E51" s="222">
        <f>+'income statement'!E6-E53</f>
        <v>5290547467.037257</v>
      </c>
      <c r="F51" s="220"/>
    </row>
    <row r="52" spans="2:6" ht="15" customHeight="1">
      <c r="B52" s="19" t="s">
        <v>302</v>
      </c>
      <c r="C52" s="19"/>
      <c r="D52" s="24">
        <v>0</v>
      </c>
      <c r="E52" s="24">
        <v>0</v>
      </c>
      <c r="F52" s="220"/>
    </row>
    <row r="53" spans="2:6" ht="15" customHeight="1">
      <c r="B53" s="19" t="s">
        <v>305</v>
      </c>
      <c r="C53" s="19" t="s">
        <v>184</v>
      </c>
      <c r="D53" s="24">
        <v>0</v>
      </c>
      <c r="E53" s="24">
        <v>644917631.3663635</v>
      </c>
      <c r="F53" s="220"/>
    </row>
    <row r="54" spans="2:6" ht="15" customHeight="1">
      <c r="B54" s="19" t="s">
        <v>307</v>
      </c>
      <c r="C54" s="19"/>
      <c r="D54" s="24">
        <v>0</v>
      </c>
      <c r="E54" s="24">
        <v>0</v>
      </c>
      <c r="F54" s="220"/>
    </row>
    <row r="55" spans="2:6" ht="15" customHeight="1">
      <c r="B55" s="19" t="s">
        <v>214</v>
      </c>
      <c r="C55" s="19" t="s">
        <v>185</v>
      </c>
      <c r="D55" s="24">
        <v>23023438000</v>
      </c>
      <c r="E55" s="24">
        <f>SUM(E51:E54)</f>
        <v>5935465098.403621</v>
      </c>
      <c r="F55" s="220"/>
    </row>
    <row r="56" spans="2:6" ht="15" customHeight="1">
      <c r="B56" s="19" t="s">
        <v>291</v>
      </c>
      <c r="C56" s="20" t="s">
        <v>186</v>
      </c>
      <c r="D56" s="24">
        <v>0</v>
      </c>
      <c r="E56" s="24">
        <v>0</v>
      </c>
      <c r="F56" s="220"/>
    </row>
    <row r="57" spans="2:6" ht="15" customHeight="1">
      <c r="B57" s="19" t="s">
        <v>234</v>
      </c>
      <c r="C57" s="25" t="s">
        <v>187</v>
      </c>
      <c r="D57" s="253">
        <f>+D55-D56</f>
        <v>23023438000</v>
      </c>
      <c r="E57" s="253">
        <f>+E55-E56</f>
        <v>5935465098.403621</v>
      </c>
      <c r="F57" s="220"/>
    </row>
    <row r="58" spans="2:6" ht="15" customHeight="1">
      <c r="B58" s="19" t="s">
        <v>209</v>
      </c>
      <c r="C58" s="25" t="s">
        <v>318</v>
      </c>
      <c r="D58" s="253"/>
      <c r="E58" s="253"/>
      <c r="F58" s="220"/>
    </row>
    <row r="59" spans="2:6" ht="15" customHeight="1">
      <c r="B59" s="19" t="s">
        <v>319</v>
      </c>
      <c r="C59" s="19" t="s">
        <v>320</v>
      </c>
      <c r="D59" s="24">
        <v>17364564845</v>
      </c>
      <c r="E59" s="174">
        <f>+'income statement'!E7-E61</f>
        <v>3576947275.83</v>
      </c>
      <c r="F59" s="220"/>
    </row>
    <row r="60" spans="2:6" ht="15" customHeight="1">
      <c r="B60" s="19" t="s">
        <v>321</v>
      </c>
      <c r="C60" s="19"/>
      <c r="D60" s="24">
        <v>0</v>
      </c>
      <c r="E60" s="24">
        <v>0</v>
      </c>
      <c r="F60" s="220"/>
    </row>
    <row r="61" spans="2:6" ht="15" customHeight="1">
      <c r="B61" s="19" t="s">
        <v>322</v>
      </c>
      <c r="C61" s="19" t="s">
        <v>188</v>
      </c>
      <c r="D61" s="24">
        <v>0</v>
      </c>
      <c r="E61" s="24">
        <v>296893901.17</v>
      </c>
      <c r="F61" s="220"/>
    </row>
    <row r="62" spans="2:5" ht="15" customHeight="1">
      <c r="B62" s="19" t="s">
        <v>323</v>
      </c>
      <c r="C62" s="19"/>
      <c r="D62" s="24">
        <v>0</v>
      </c>
      <c r="E62" s="24">
        <v>0</v>
      </c>
    </row>
    <row r="63" spans="2:5" ht="15" customHeight="1">
      <c r="B63" s="19" t="s">
        <v>324</v>
      </c>
      <c r="C63" s="25" t="s">
        <v>325</v>
      </c>
      <c r="D63" s="253">
        <f>+D61+D59</f>
        <v>17364564845</v>
      </c>
      <c r="E63" s="253">
        <f>+E61+E59</f>
        <v>3873841177</v>
      </c>
    </row>
    <row r="64" spans="1:120" ht="12.75" customHeight="1">
      <c r="A64" s="141" t="s">
        <v>209</v>
      </c>
      <c r="B64" s="141" t="s">
        <v>209</v>
      </c>
      <c r="C64" s="141" t="s">
        <v>209</v>
      </c>
      <c r="D64" s="141" t="s">
        <v>209</v>
      </c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/>
      <c r="CX64" s="426"/>
      <c r="CY64" s="426"/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</row>
    <row r="65" ht="15.75">
      <c r="B65" s="21" t="s">
        <v>445</v>
      </c>
    </row>
    <row r="66" spans="2:8" ht="14.25" customHeight="1">
      <c r="B66" s="172" t="s">
        <v>326</v>
      </c>
      <c r="C66" s="173"/>
      <c r="D66" s="173"/>
      <c r="E66" s="173"/>
      <c r="F66" s="173"/>
      <c r="G66" s="173"/>
      <c r="H66" s="173"/>
    </row>
    <row r="67" spans="4:5" ht="14.25" customHeight="1">
      <c r="D67" s="436" t="s">
        <v>1</v>
      </c>
      <c r="E67" s="436"/>
    </row>
    <row r="68" spans="2:5" ht="14.25" customHeight="1">
      <c r="B68" s="23" t="s">
        <v>112</v>
      </c>
      <c r="C68" s="23" t="s">
        <v>19</v>
      </c>
      <c r="D68" s="23" t="s">
        <v>114</v>
      </c>
      <c r="E68" s="23" t="s">
        <v>121</v>
      </c>
    </row>
    <row r="69" spans="2:5" ht="14.25" customHeight="1">
      <c r="B69" s="19" t="s">
        <v>212</v>
      </c>
      <c r="C69" s="19" t="s">
        <v>209</v>
      </c>
      <c r="D69" s="24">
        <f>+'income statement'!D13</f>
        <v>294989457.3</v>
      </c>
      <c r="E69" s="24">
        <f>+'income statement'!E13</f>
        <v>187709760.18</v>
      </c>
    </row>
    <row r="70" spans="2:5" ht="14.25" customHeight="1">
      <c r="B70" s="19" t="s">
        <v>215</v>
      </c>
      <c r="C70" s="25" t="s">
        <v>118</v>
      </c>
      <c r="D70" s="24">
        <f>SUM(D69)</f>
        <v>294989457.3</v>
      </c>
      <c r="E70" s="24">
        <f>SUM(E69)</f>
        <v>187709760.18</v>
      </c>
    </row>
    <row r="71" spans="1:120" ht="14.25" customHeight="1">
      <c r="A71" s="141" t="s">
        <v>209</v>
      </c>
      <c r="B71" s="141" t="s">
        <v>209</v>
      </c>
      <c r="C71" s="141" t="s">
        <v>209</v>
      </c>
      <c r="D71" s="141" t="s">
        <v>209</v>
      </c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</row>
    <row r="72" ht="14.25" customHeight="1">
      <c r="B72" s="21" t="s">
        <v>445</v>
      </c>
    </row>
    <row r="73" spans="2:8" ht="14.25" customHeight="1">
      <c r="B73" s="172" t="s">
        <v>327</v>
      </c>
      <c r="C73" s="173"/>
      <c r="D73" s="173"/>
      <c r="E73" s="173"/>
      <c r="F73" s="173"/>
      <c r="G73" s="173"/>
      <c r="H73" s="173"/>
    </row>
    <row r="74" spans="4:5" ht="14.25" customHeight="1">
      <c r="D74" s="436" t="s">
        <v>1</v>
      </c>
      <c r="E74" s="436"/>
    </row>
    <row r="75" spans="2:5" ht="14.25" customHeight="1">
      <c r="B75" s="23" t="s">
        <v>112</v>
      </c>
      <c r="C75" s="23" t="s">
        <v>19</v>
      </c>
      <c r="D75" s="23" t="s">
        <v>114</v>
      </c>
      <c r="E75" s="23" t="s">
        <v>121</v>
      </c>
    </row>
    <row r="76" spans="2:5" ht="14.25" customHeight="1">
      <c r="B76" s="19" t="s">
        <v>232</v>
      </c>
      <c r="C76" s="19" t="s">
        <v>328</v>
      </c>
      <c r="D76" s="24">
        <v>0</v>
      </c>
      <c r="E76" s="24">
        <v>0</v>
      </c>
    </row>
    <row r="77" spans="2:5" ht="14.25" customHeight="1">
      <c r="B77" s="19" t="s">
        <v>219</v>
      </c>
      <c r="C77" s="19" t="s">
        <v>329</v>
      </c>
      <c r="D77" s="24">
        <v>0</v>
      </c>
      <c r="E77" s="24">
        <v>0</v>
      </c>
    </row>
    <row r="78" spans="2:6" ht="14.25" customHeight="1">
      <c r="B78" s="19" t="s">
        <v>287</v>
      </c>
      <c r="C78" s="19" t="s">
        <v>330</v>
      </c>
      <c r="D78" s="24">
        <v>0</v>
      </c>
      <c r="E78" s="24">
        <v>0</v>
      </c>
      <c r="F78" s="159"/>
    </row>
    <row r="79" spans="2:6" ht="14.25" customHeight="1">
      <c r="B79" s="19" t="s">
        <v>291</v>
      </c>
      <c r="C79" s="19" t="s">
        <v>331</v>
      </c>
      <c r="D79" s="24">
        <f>+'income statement'!D18</f>
        <v>-10073099.08</v>
      </c>
      <c r="E79" s="24">
        <f>+'income statement'!E18</f>
        <v>-4362475</v>
      </c>
      <c r="F79" s="159"/>
    </row>
    <row r="80" spans="2:6" ht="14.25" customHeight="1">
      <c r="B80" s="19" t="s">
        <v>293</v>
      </c>
      <c r="C80" s="25" t="s">
        <v>118</v>
      </c>
      <c r="D80" s="253">
        <f>SUM(D76:D79)</f>
        <v>-10073099.08</v>
      </c>
      <c r="E80" s="253">
        <f>SUM(E76:E79)</f>
        <v>-4362475</v>
      </c>
      <c r="F80" s="159"/>
    </row>
    <row r="81" spans="1:120" ht="14.25" customHeight="1">
      <c r="A81" s="141" t="s">
        <v>209</v>
      </c>
      <c r="B81" s="141" t="s">
        <v>209</v>
      </c>
      <c r="C81" s="141" t="s">
        <v>209</v>
      </c>
      <c r="D81" s="141" t="s">
        <v>209</v>
      </c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</row>
    <row r="82" ht="14.25" customHeight="1">
      <c r="B82" s="21" t="s">
        <v>445</v>
      </c>
    </row>
    <row r="83" spans="2:8" s="180" customFormat="1" ht="14.25" customHeight="1">
      <c r="B83" s="172" t="s">
        <v>332</v>
      </c>
      <c r="C83" s="173"/>
      <c r="D83" s="173"/>
      <c r="E83" s="173"/>
      <c r="F83" s="173"/>
      <c r="G83" s="173"/>
      <c r="H83" s="173"/>
    </row>
    <row r="84" spans="4:5" ht="12" customHeight="1">
      <c r="D84" s="436" t="s">
        <v>1</v>
      </c>
      <c r="E84" s="436"/>
    </row>
    <row r="85" spans="2:5" ht="30">
      <c r="B85" s="23" t="s">
        <v>112</v>
      </c>
      <c r="C85" s="23" t="s">
        <v>19</v>
      </c>
      <c r="D85" s="23" t="s">
        <v>114</v>
      </c>
      <c r="E85" s="23" t="s">
        <v>121</v>
      </c>
    </row>
    <row r="86" spans="2:5" ht="16.5" customHeight="1">
      <c r="B86" s="19" t="s">
        <v>232</v>
      </c>
      <c r="C86" s="19" t="s">
        <v>622</v>
      </c>
      <c r="D86" s="24">
        <f>+'income statement'!D24</f>
        <v>206522250.45</v>
      </c>
      <c r="E86" s="24">
        <f>+'income statement'!E24</f>
        <v>0</v>
      </c>
    </row>
    <row r="87" spans="2:5" ht="16.5" customHeight="1">
      <c r="B87" s="19" t="s">
        <v>219</v>
      </c>
      <c r="C87" s="19" t="s">
        <v>333</v>
      </c>
      <c r="D87" s="24">
        <v>0</v>
      </c>
      <c r="E87" s="24">
        <v>0</v>
      </c>
    </row>
    <row r="88" spans="2:5" ht="12.75" customHeight="1" hidden="1">
      <c r="B88" s="19" t="s">
        <v>287</v>
      </c>
      <c r="C88" s="19" t="s">
        <v>190</v>
      </c>
      <c r="D88" s="24">
        <v>0</v>
      </c>
      <c r="E88" s="24">
        <v>0</v>
      </c>
    </row>
    <row r="89" spans="2:5" ht="12.75" customHeight="1" hidden="1">
      <c r="B89" s="19" t="s">
        <v>291</v>
      </c>
      <c r="C89" s="19" t="s">
        <v>191</v>
      </c>
      <c r="D89" s="24">
        <v>0</v>
      </c>
      <c r="E89" s="24">
        <v>0</v>
      </c>
    </row>
    <row r="90" spans="2:5" ht="12.75" customHeight="1" hidden="1">
      <c r="B90" s="19" t="s">
        <v>293</v>
      </c>
      <c r="C90" s="19" t="s">
        <v>192</v>
      </c>
      <c r="D90" s="24">
        <v>0</v>
      </c>
      <c r="E90" s="24">
        <v>0</v>
      </c>
    </row>
    <row r="91" spans="2:5" ht="12.75" customHeight="1">
      <c r="B91" s="19" t="s">
        <v>294</v>
      </c>
      <c r="C91" s="25" t="s">
        <v>118</v>
      </c>
      <c r="D91" s="253">
        <f>SUM(D86:D90)</f>
        <v>206522250.45</v>
      </c>
      <c r="E91" s="253">
        <f>SUM(E86:E90)</f>
        <v>0</v>
      </c>
    </row>
    <row r="92" spans="1:120" ht="12.75" customHeight="1">
      <c r="A92" s="141" t="s">
        <v>209</v>
      </c>
      <c r="B92" s="141" t="s">
        <v>209</v>
      </c>
      <c r="C92" s="141" t="s">
        <v>209</v>
      </c>
      <c r="D92" s="141" t="s">
        <v>209</v>
      </c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/>
      <c r="CX92" s="426"/>
      <c r="CY92" s="426"/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</row>
    <row r="93" spans="3:5" ht="15">
      <c r="C93" s="141" t="s">
        <v>420</v>
      </c>
      <c r="E93" s="22"/>
    </row>
    <row r="94" spans="3:5" ht="15">
      <c r="C94" s="141" t="s">
        <v>419</v>
      </c>
      <c r="E94" s="22"/>
    </row>
    <row r="95" ht="15">
      <c r="E95" s="22"/>
    </row>
  </sheetData>
  <sheetProtection/>
  <mergeCells count="15">
    <mergeCell ref="BP92:DP92"/>
    <mergeCell ref="F3:G3"/>
    <mergeCell ref="G16:H16"/>
    <mergeCell ref="BP22:DP22"/>
    <mergeCell ref="E25:F25"/>
    <mergeCell ref="BP36:DP36"/>
    <mergeCell ref="F39:G39"/>
    <mergeCell ref="BP45:DP45"/>
    <mergeCell ref="D48:E48"/>
    <mergeCell ref="BP64:DP64"/>
    <mergeCell ref="BP71:DP71"/>
    <mergeCell ref="BP81:DP81"/>
    <mergeCell ref="D67:E67"/>
    <mergeCell ref="D74:E74"/>
    <mergeCell ref="D84:E84"/>
  </mergeCells>
  <hyperlinks>
    <hyperlink ref="C13" location="_ftn1" display="_ftn1"/>
    <hyperlink ref="C14" location="_ftn2" display="_ftn2"/>
    <hyperlink ref="C57" location="_ftn3" display="_ftn3"/>
  </hyperlinks>
  <printOptions/>
  <pageMargins left="0.84" right="0.15748031496062992" top="0.1968503937007874" bottom="0" header="0.15748031496062992" footer="0.15748031496062992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22">
      <selection activeCell="E39" sqref="E39"/>
    </sheetView>
  </sheetViews>
  <sheetFormatPr defaultColWidth="9.140625" defaultRowHeight="15"/>
  <cols>
    <col min="1" max="1" width="11.421875" style="4" customWidth="1"/>
    <col min="2" max="2" width="6.140625" style="334" bestFit="1" customWidth="1"/>
    <col min="3" max="3" width="33.140625" style="339" customWidth="1"/>
    <col min="4" max="4" width="19.8515625" style="339" bestFit="1" customWidth="1"/>
    <col min="5" max="5" width="20.421875" style="327" customWidth="1"/>
    <col min="6" max="6" width="21.8515625" style="4" hidden="1" customWidth="1"/>
    <col min="7" max="7" width="23.28125" style="4" hidden="1" customWidth="1"/>
    <col min="8" max="8" width="18.7109375" style="4" bestFit="1" customWidth="1"/>
    <col min="9" max="9" width="14.00390625" style="4" bestFit="1" customWidth="1"/>
    <col min="10" max="16384" width="11.421875" style="4" customWidth="1"/>
  </cols>
  <sheetData>
    <row r="2" ht="15">
      <c r="E2" s="342"/>
    </row>
    <row r="3" spans="2:5" ht="15.75">
      <c r="B3" s="21" t="s">
        <v>777</v>
      </c>
      <c r="C3" s="291"/>
      <c r="D3" s="291"/>
      <c r="E3" s="291"/>
    </row>
    <row r="4" spans="2:5" ht="15">
      <c r="B4" s="291"/>
      <c r="C4" s="291"/>
      <c r="D4" s="291"/>
      <c r="E4" s="22" t="s">
        <v>778</v>
      </c>
    </row>
    <row r="5" spans="2:5" ht="30" customHeight="1">
      <c r="B5" s="312" t="s">
        <v>112</v>
      </c>
      <c r="C5" s="312" t="s">
        <v>665</v>
      </c>
      <c r="D5" s="312" t="s">
        <v>827</v>
      </c>
      <c r="E5" s="312" t="s">
        <v>828</v>
      </c>
    </row>
    <row r="6" spans="2:7" s="5" customFormat="1" ht="13.5" customHeight="1">
      <c r="B6" s="69" t="s">
        <v>232</v>
      </c>
      <c r="C6" s="69" t="s">
        <v>779</v>
      </c>
      <c r="D6" s="316">
        <v>20254732686.170002</v>
      </c>
      <c r="E6" s="316">
        <f>6583532971.74544-E9-E10-E13</f>
        <v>5935465098.403621</v>
      </c>
      <c r="F6" s="13"/>
      <c r="G6" s="13"/>
    </row>
    <row r="7" spans="2:7" ht="13.5" customHeight="1">
      <c r="B7" s="69" t="s">
        <v>219</v>
      </c>
      <c r="C7" s="69" t="s">
        <v>780</v>
      </c>
      <c r="D7" s="314">
        <v>13776299311.6</v>
      </c>
      <c r="E7" s="314">
        <v>3873841177</v>
      </c>
      <c r="F7" s="15"/>
      <c r="G7" s="6"/>
    </row>
    <row r="8" spans="2:7" ht="13.5" customHeight="1">
      <c r="B8" s="69" t="s">
        <v>214</v>
      </c>
      <c r="C8" s="70" t="s">
        <v>781</v>
      </c>
      <c r="D8" s="314">
        <v>6478433374.570002</v>
      </c>
      <c r="E8" s="314">
        <f>+E6-E7</f>
        <v>2061623921.4036207</v>
      </c>
      <c r="F8" s="6"/>
      <c r="G8" s="6"/>
    </row>
    <row r="9" spans="2:8" ht="13.5" customHeight="1">
      <c r="B9" s="69" t="s">
        <v>291</v>
      </c>
      <c r="C9" s="69" t="s">
        <v>782</v>
      </c>
      <c r="D9" s="314">
        <v>669037811.46</v>
      </c>
      <c r="E9" s="314">
        <v>294624694.86181796</v>
      </c>
      <c r="H9" s="6"/>
    </row>
    <row r="10" spans="2:5" s="5" customFormat="1" ht="13.5" customHeight="1">
      <c r="B10" s="69" t="s">
        <v>293</v>
      </c>
      <c r="C10" s="69" t="s">
        <v>783</v>
      </c>
      <c r="D10" s="314">
        <v>384451566.07</v>
      </c>
      <c r="E10" s="314">
        <v>165733418.29999998</v>
      </c>
    </row>
    <row r="11" spans="2:5" s="5" customFormat="1" ht="13.5" customHeight="1">
      <c r="B11" s="69" t="s">
        <v>294</v>
      </c>
      <c r="C11" s="69" t="s">
        <v>784</v>
      </c>
      <c r="D11" s="359">
        <v>0</v>
      </c>
      <c r="E11" s="359">
        <v>0</v>
      </c>
    </row>
    <row r="12" spans="2:5" s="5" customFormat="1" ht="13.5" customHeight="1">
      <c r="B12" s="69" t="s">
        <v>339</v>
      </c>
      <c r="C12" s="69" t="s">
        <v>785</v>
      </c>
      <c r="D12" s="359">
        <v>0</v>
      </c>
      <c r="E12" s="359">
        <v>0</v>
      </c>
    </row>
    <row r="13" spans="2:5" s="5" customFormat="1" ht="13.5" customHeight="1">
      <c r="B13" s="69" t="s">
        <v>324</v>
      </c>
      <c r="C13" s="69" t="s">
        <v>786</v>
      </c>
      <c r="D13" s="314">
        <v>294989457.3</v>
      </c>
      <c r="E13" s="314">
        <v>187709760.18</v>
      </c>
    </row>
    <row r="14" spans="2:8" ht="13.5" customHeight="1">
      <c r="B14" s="69" t="s">
        <v>342</v>
      </c>
      <c r="C14" s="69" t="s">
        <v>787</v>
      </c>
      <c r="D14" s="314">
        <v>86077690.84</v>
      </c>
      <c r="E14" s="314">
        <v>57833046</v>
      </c>
      <c r="F14" s="6"/>
      <c r="H14" s="6"/>
    </row>
    <row r="15" spans="2:6" ht="13.5" customHeight="1">
      <c r="B15" s="69" t="s">
        <v>344</v>
      </c>
      <c r="C15" s="69" t="s">
        <v>788</v>
      </c>
      <c r="D15" s="314">
        <v>4918464673.58</v>
      </c>
      <c r="E15" s="314">
        <v>1815187079.31</v>
      </c>
      <c r="F15" s="15"/>
    </row>
    <row r="16" spans="2:5" ht="13.5" customHeight="1">
      <c r="B16" s="69" t="s">
        <v>346</v>
      </c>
      <c r="C16" s="69" t="s">
        <v>789</v>
      </c>
      <c r="D16" s="359">
        <v>0</v>
      </c>
      <c r="E16" s="314">
        <v>462433069.540617</v>
      </c>
    </row>
    <row r="17" spans="2:6" ht="13.5" customHeight="1">
      <c r="B17" s="69" t="s">
        <v>348</v>
      </c>
      <c r="C17" s="69" t="s">
        <v>790</v>
      </c>
      <c r="D17" s="314">
        <v>441066210.26</v>
      </c>
      <c r="E17" s="314">
        <v>63134154</v>
      </c>
      <c r="F17" s="6"/>
    </row>
    <row r="18" spans="2:8" ht="14.25" customHeight="1">
      <c r="B18" s="69" t="s">
        <v>350</v>
      </c>
      <c r="C18" s="69" t="s">
        <v>791</v>
      </c>
      <c r="D18" s="356">
        <v>-10073099.08</v>
      </c>
      <c r="E18" s="314">
        <v>-4362475</v>
      </c>
      <c r="H18" s="6"/>
    </row>
    <row r="19" spans="2:5" ht="14.25" customHeight="1">
      <c r="B19" s="69" t="s">
        <v>352</v>
      </c>
      <c r="C19" s="69" t="s">
        <v>792</v>
      </c>
      <c r="D19" s="314">
        <v>36046989.79</v>
      </c>
      <c r="E19" s="359">
        <v>0</v>
      </c>
    </row>
    <row r="20" spans="2:5" ht="13.5" customHeight="1">
      <c r="B20" s="69" t="s">
        <v>354</v>
      </c>
      <c r="C20" s="69" t="s">
        <v>793</v>
      </c>
      <c r="D20" s="359">
        <v>0</v>
      </c>
      <c r="E20" s="359">
        <v>0</v>
      </c>
    </row>
    <row r="21" spans="2:5" ht="13.5" customHeight="1">
      <c r="B21" s="69" t="s">
        <v>356</v>
      </c>
      <c r="C21" s="69" t="s">
        <v>794</v>
      </c>
      <c r="D21" s="359">
        <v>0</v>
      </c>
      <c r="E21" s="359">
        <v>0</v>
      </c>
    </row>
    <row r="22" spans="2:5" ht="30">
      <c r="B22" s="69" t="s">
        <v>358</v>
      </c>
      <c r="C22" s="69" t="s">
        <v>796</v>
      </c>
      <c r="D22" s="359">
        <v>0</v>
      </c>
      <c r="E22" s="359">
        <v>0</v>
      </c>
    </row>
    <row r="23" spans="2:5" ht="30">
      <c r="B23" s="69" t="s">
        <v>798</v>
      </c>
      <c r="C23" s="69" t="s">
        <v>797</v>
      </c>
      <c r="D23" s="359">
        <v>0</v>
      </c>
      <c r="E23" s="359">
        <v>0</v>
      </c>
    </row>
    <row r="24" spans="2:5" ht="13.5" customHeight="1">
      <c r="B24" s="69" t="s">
        <v>362</v>
      </c>
      <c r="C24" s="69" t="s">
        <v>795</v>
      </c>
      <c r="D24" s="314">
        <v>206522250.45</v>
      </c>
      <c r="E24" s="359">
        <v>0</v>
      </c>
    </row>
    <row r="25" spans="2:8" s="5" customFormat="1" ht="13.5" customHeight="1">
      <c r="B25" s="69" t="s">
        <v>799</v>
      </c>
      <c r="C25" s="70" t="s">
        <v>802</v>
      </c>
      <c r="D25" s="360">
        <v>2613799775.880001</v>
      </c>
      <c r="E25" s="360">
        <f>+E8+E9+E10+E13-E14-E15-E16-E17+E18+E24+E19</f>
        <v>306741970.89482164</v>
      </c>
      <c r="F25" s="131">
        <f>+F8+F9+F10+F13-F14-F15-F17+F18+F19+F24</f>
        <v>0</v>
      </c>
      <c r="G25" s="131">
        <f>+G8+G9+G10+G13-G14-G15-G17+G18+G19+G24</f>
        <v>0</v>
      </c>
      <c r="H25" s="13"/>
    </row>
    <row r="26" spans="2:6" ht="13.5" customHeight="1">
      <c r="B26" s="69" t="s">
        <v>365</v>
      </c>
      <c r="C26" s="69" t="s">
        <v>803</v>
      </c>
      <c r="D26" s="314">
        <v>286166363.17</v>
      </c>
      <c r="E26" s="314">
        <f>-0.61+30674197.0201869</f>
        <v>30674196.4101869</v>
      </c>
      <c r="F26" s="15"/>
    </row>
    <row r="27" spans="2:8" s="5" customFormat="1" ht="13.5" customHeight="1">
      <c r="B27" s="69" t="s">
        <v>800</v>
      </c>
      <c r="C27" s="70" t="s">
        <v>804</v>
      </c>
      <c r="D27" s="314">
        <v>2327633412.710001</v>
      </c>
      <c r="E27" s="314">
        <f>E25-E26</f>
        <v>276067774.48463476</v>
      </c>
      <c r="F27" s="13"/>
      <c r="G27" s="14"/>
      <c r="H27" s="13"/>
    </row>
    <row r="28" spans="2:5" ht="13.5" customHeight="1">
      <c r="B28" s="69" t="s">
        <v>801</v>
      </c>
      <c r="C28" s="70" t="s">
        <v>805</v>
      </c>
      <c r="D28" s="359">
        <v>0</v>
      </c>
      <c r="E28" s="359">
        <v>0</v>
      </c>
    </row>
    <row r="29" spans="2:9" ht="13.5" customHeight="1">
      <c r="B29" s="361">
        <v>24</v>
      </c>
      <c r="C29" s="70" t="s">
        <v>806</v>
      </c>
      <c r="D29" s="314">
        <v>2327633412.710001</v>
      </c>
      <c r="E29" s="314">
        <f>E27</f>
        <v>276067774.48463476</v>
      </c>
      <c r="F29" s="6"/>
      <c r="G29" s="6"/>
      <c r="I29" s="6"/>
    </row>
    <row r="30" spans="2:7" ht="13.5" customHeight="1">
      <c r="B30" s="361">
        <v>24.1</v>
      </c>
      <c r="C30" s="362" t="s">
        <v>763</v>
      </c>
      <c r="D30" s="359">
        <v>0</v>
      </c>
      <c r="E30" s="359">
        <v>0</v>
      </c>
      <c r="F30" s="6"/>
      <c r="G30" s="6"/>
    </row>
    <row r="31" spans="2:9" ht="13.5" customHeight="1">
      <c r="B31" s="361">
        <v>24.2</v>
      </c>
      <c r="C31" s="362" t="s">
        <v>807</v>
      </c>
      <c r="D31" s="314">
        <v>2327633412.710001</v>
      </c>
      <c r="E31" s="314">
        <f>+E29</f>
        <v>276067774.48463476</v>
      </c>
      <c r="F31" s="6"/>
      <c r="G31" s="6"/>
      <c r="H31" s="6"/>
      <c r="I31" s="6"/>
    </row>
    <row r="32" spans="2:5" ht="13.5" customHeight="1">
      <c r="B32" s="361">
        <v>25</v>
      </c>
      <c r="C32" s="70" t="s">
        <v>808</v>
      </c>
      <c r="D32" s="359">
        <v>0</v>
      </c>
      <c r="E32" s="359">
        <v>0</v>
      </c>
    </row>
    <row r="33" spans="2:5" ht="13.5" customHeight="1">
      <c r="B33" s="361">
        <v>25.1</v>
      </c>
      <c r="C33" s="69" t="s">
        <v>809</v>
      </c>
      <c r="D33" s="359">
        <v>0</v>
      </c>
      <c r="E33" s="359">
        <v>0</v>
      </c>
    </row>
    <row r="34" spans="2:5" ht="13.5" customHeight="1">
      <c r="B34" s="361">
        <v>25.2</v>
      </c>
      <c r="C34" s="69" t="s">
        <v>810</v>
      </c>
      <c r="D34" s="359">
        <v>0</v>
      </c>
      <c r="E34" s="359">
        <v>0</v>
      </c>
    </row>
    <row r="35" spans="2:5" s="5" customFormat="1" ht="13.5" customHeight="1">
      <c r="B35" s="361">
        <v>25.3</v>
      </c>
      <c r="C35" s="69" t="s">
        <v>795</v>
      </c>
      <c r="D35" s="359">
        <v>0</v>
      </c>
      <c r="E35" s="359">
        <v>0</v>
      </c>
    </row>
    <row r="36" spans="2:5" s="5" customFormat="1" ht="15" customHeight="1">
      <c r="B36" s="361">
        <v>25.4</v>
      </c>
      <c r="C36" s="357" t="s">
        <v>811</v>
      </c>
      <c r="D36" s="359">
        <v>0</v>
      </c>
      <c r="E36" s="359">
        <v>0</v>
      </c>
    </row>
    <row r="37" spans="2:6" s="5" customFormat="1" ht="24.75" customHeight="1">
      <c r="B37" s="361">
        <v>26</v>
      </c>
      <c r="C37" s="70" t="s">
        <v>892</v>
      </c>
      <c r="D37" s="314">
        <f>+D29</f>
        <v>2327633412.710001</v>
      </c>
      <c r="E37" s="314">
        <f>+E29</f>
        <v>276067774.48463476</v>
      </c>
      <c r="F37" s="5">
        <v>283769033.64</v>
      </c>
    </row>
    <row r="38" spans="2:6" ht="13.5" customHeight="1">
      <c r="B38" s="361">
        <v>27</v>
      </c>
      <c r="C38" s="69" t="s">
        <v>812</v>
      </c>
      <c r="D38" s="359">
        <v>0</v>
      </c>
      <c r="E38" s="359">
        <v>0</v>
      </c>
      <c r="F38" s="6">
        <f>+E37-F37</f>
        <v>-7701259.155365229</v>
      </c>
    </row>
    <row r="39" ht="15">
      <c r="B39" s="343"/>
    </row>
  </sheetData>
  <sheetProtection/>
  <printOptions/>
  <pageMargins left="0.590551181102362" right="0" top="0.78740157480315" bottom="0.748031496062992" header="0.31496062992126" footer="0.31496062992126"/>
  <pageSetup horizontalDpi="600" verticalDpi="600" orientation="portrait" paperSize="9" scale="9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L81"/>
  <sheetViews>
    <sheetView zoomScalePageLayoutView="0" workbookViewId="0" topLeftCell="A1">
      <selection activeCell="C37" sqref="C37"/>
    </sheetView>
  </sheetViews>
  <sheetFormatPr defaultColWidth="17.421875" defaultRowHeight="15"/>
  <cols>
    <col min="1" max="1" width="4.421875" style="141" customWidth="1"/>
    <col min="2" max="2" width="54.421875" style="141" customWidth="1"/>
    <col min="3" max="3" width="15.00390625" style="141" customWidth="1"/>
    <col min="4" max="4" width="16.00390625" style="141" customWidth="1"/>
    <col min="5" max="5" width="14.28125" style="141" bestFit="1" customWidth="1"/>
    <col min="6" max="6" width="16.421875" style="141" bestFit="1" customWidth="1"/>
    <col min="7" max="7" width="14.7109375" style="141" customWidth="1"/>
    <col min="8" max="17" width="17.421875" style="141" customWidth="1"/>
    <col min="18" max="254" width="9.140625" style="141" customWidth="1"/>
    <col min="255" max="255" width="25.140625" style="141" customWidth="1"/>
    <col min="256" max="16384" width="17.421875" style="141" customWidth="1"/>
  </cols>
  <sheetData>
    <row r="1" ht="12.75" customHeight="1">
      <c r="A1" s="21"/>
    </row>
    <row r="2" spans="1:6" ht="12.75" customHeight="1">
      <c r="A2" s="172" t="s">
        <v>334</v>
      </c>
      <c r="B2" s="173"/>
      <c r="C2" s="173"/>
      <c r="D2" s="173"/>
      <c r="E2" s="173"/>
      <c r="F2" s="173"/>
    </row>
    <row r="3" spans="4:5" ht="12.75" customHeight="1">
      <c r="D3" s="436" t="s">
        <v>1</v>
      </c>
      <c r="E3" s="436"/>
    </row>
    <row r="4" spans="1:6" ht="13.5" customHeight="1">
      <c r="A4" s="23" t="s">
        <v>112</v>
      </c>
      <c r="B4" s="23" t="s">
        <v>19</v>
      </c>
      <c r="C4" s="23" t="s">
        <v>193</v>
      </c>
      <c r="D4" s="23" t="s">
        <v>193</v>
      </c>
      <c r="E4" s="23" t="s">
        <v>194</v>
      </c>
      <c r="F4" s="23" t="s">
        <v>194</v>
      </c>
    </row>
    <row r="5" spans="1:6" ht="12" customHeight="1">
      <c r="A5" s="19" t="s">
        <v>232</v>
      </c>
      <c r="B5" s="19" t="s">
        <v>195</v>
      </c>
      <c r="C5" s="24">
        <v>51161595</v>
      </c>
      <c r="D5" s="24">
        <v>53709205.8</v>
      </c>
      <c r="E5" s="183">
        <v>1528567802.42</v>
      </c>
      <c r="F5" s="219">
        <v>1562476309.11</v>
      </c>
    </row>
    <row r="6" spans="1:6" ht="12" customHeight="1">
      <c r="A6" s="19" t="s">
        <v>219</v>
      </c>
      <c r="B6" s="19" t="s">
        <v>196</v>
      </c>
      <c r="C6" s="24">
        <v>0</v>
      </c>
      <c r="D6" s="24">
        <v>0</v>
      </c>
      <c r="E6" s="183">
        <v>169499330.05</v>
      </c>
      <c r="F6" s="219">
        <v>202782285.19</v>
      </c>
    </row>
    <row r="7" spans="1:6" ht="12" customHeight="1">
      <c r="A7" s="19" t="s">
        <v>287</v>
      </c>
      <c r="B7" s="19" t="s">
        <v>335</v>
      </c>
      <c r="C7" s="24">
        <v>0</v>
      </c>
      <c r="D7" s="24">
        <v>0</v>
      </c>
      <c r="E7" s="183"/>
      <c r="F7" s="219">
        <f>338583672.35+3428381+2185200+48754983.63+3000000</f>
        <v>395952236.98</v>
      </c>
    </row>
    <row r="8" spans="1:6" ht="12" customHeight="1">
      <c r="A8" s="19" t="s">
        <v>291</v>
      </c>
      <c r="B8" s="19" t="s">
        <v>336</v>
      </c>
      <c r="C8" s="24">
        <v>0</v>
      </c>
      <c r="D8" s="24">
        <v>0</v>
      </c>
      <c r="E8" s="183">
        <v>58618144.57</v>
      </c>
      <c r="F8" s="219">
        <v>11017344</v>
      </c>
    </row>
    <row r="9" spans="1:6" ht="12" customHeight="1">
      <c r="A9" s="19" t="s">
        <v>293</v>
      </c>
      <c r="B9" s="19" t="s">
        <v>337</v>
      </c>
      <c r="C9" s="24">
        <v>0</v>
      </c>
      <c r="D9" s="24">
        <v>0</v>
      </c>
      <c r="E9" s="183">
        <v>22655267.669999998</v>
      </c>
      <c r="F9" s="219">
        <v>7641482.74</v>
      </c>
    </row>
    <row r="10" spans="1:6" ht="12" customHeight="1">
      <c r="A10" s="19" t="s">
        <v>294</v>
      </c>
      <c r="B10" s="19" t="s">
        <v>338</v>
      </c>
      <c r="C10" s="24">
        <v>0</v>
      </c>
      <c r="D10" s="24">
        <v>0</v>
      </c>
      <c r="E10" s="183">
        <v>8234221</v>
      </c>
      <c r="F10" s="219">
        <f>6241767.04+25007140.88</f>
        <v>31248907.919999998</v>
      </c>
    </row>
    <row r="11" spans="1:6" ht="12" customHeight="1">
      <c r="A11" s="19" t="s">
        <v>339</v>
      </c>
      <c r="B11" s="19" t="s">
        <v>340</v>
      </c>
      <c r="C11" s="24">
        <v>0</v>
      </c>
      <c r="D11" s="24">
        <v>0</v>
      </c>
      <c r="E11" s="183"/>
      <c r="F11" s="219">
        <v>4200000</v>
      </c>
    </row>
    <row r="12" spans="1:6" ht="12" customHeight="1">
      <c r="A12" s="19" t="s">
        <v>324</v>
      </c>
      <c r="B12" s="19" t="s">
        <v>341</v>
      </c>
      <c r="C12" s="24">
        <v>0</v>
      </c>
      <c r="D12" s="24">
        <v>0</v>
      </c>
      <c r="E12" s="183"/>
      <c r="F12" s="219">
        <v>5369325.45</v>
      </c>
    </row>
    <row r="13" spans="1:6" ht="12" customHeight="1">
      <c r="A13" s="19" t="s">
        <v>342</v>
      </c>
      <c r="B13" s="19" t="s">
        <v>343</v>
      </c>
      <c r="C13" s="24">
        <v>0</v>
      </c>
      <c r="D13" s="24">
        <v>0</v>
      </c>
      <c r="E13" s="183"/>
      <c r="F13" s="219"/>
    </row>
    <row r="14" spans="1:6" ht="12" customHeight="1">
      <c r="A14" s="19" t="s">
        <v>344</v>
      </c>
      <c r="B14" s="19" t="s">
        <v>345</v>
      </c>
      <c r="C14" s="24">
        <v>0</v>
      </c>
      <c r="D14" s="24">
        <v>0</v>
      </c>
      <c r="E14" s="183"/>
      <c r="F14" s="219">
        <v>16460304.75</v>
      </c>
    </row>
    <row r="15" spans="1:6" ht="12" customHeight="1">
      <c r="A15" s="19" t="s">
        <v>346</v>
      </c>
      <c r="B15" s="19" t="s">
        <v>347</v>
      </c>
      <c r="C15" s="24">
        <v>0</v>
      </c>
      <c r="D15" s="24">
        <v>0</v>
      </c>
      <c r="E15" s="183">
        <v>1173470476.1381817</v>
      </c>
      <c r="F15" s="219">
        <v>186097885.56</v>
      </c>
    </row>
    <row r="16" spans="1:6" ht="12" customHeight="1">
      <c r="A16" s="19" t="s">
        <v>348</v>
      </c>
      <c r="B16" s="19" t="s">
        <v>349</v>
      </c>
      <c r="C16" s="24">
        <v>0</v>
      </c>
      <c r="D16" s="24">
        <v>0</v>
      </c>
      <c r="E16" s="183">
        <v>42907128.28</v>
      </c>
      <c r="F16" s="219">
        <f>15853261.63+119935595.05</f>
        <v>135788856.68</v>
      </c>
    </row>
    <row r="17" spans="1:6" ht="12" customHeight="1">
      <c r="A17" s="19" t="s">
        <v>350</v>
      </c>
      <c r="B17" s="19" t="s">
        <v>351</v>
      </c>
      <c r="C17" s="24">
        <v>0</v>
      </c>
      <c r="D17" s="24">
        <v>0</v>
      </c>
      <c r="E17" s="183">
        <v>1165816004.7259796</v>
      </c>
      <c r="F17" s="219">
        <v>1346187242.48</v>
      </c>
    </row>
    <row r="18" spans="1:6" ht="12" customHeight="1">
      <c r="A18" s="19" t="s">
        <v>352</v>
      </c>
      <c r="B18" s="19" t="s">
        <v>353</v>
      </c>
      <c r="C18" s="24">
        <v>0</v>
      </c>
      <c r="D18" s="24">
        <v>0</v>
      </c>
      <c r="E18" s="183">
        <v>90538793.5</v>
      </c>
      <c r="F18" s="219">
        <v>22769831.55</v>
      </c>
    </row>
    <row r="19" spans="1:6" ht="12" customHeight="1">
      <c r="A19" s="19" t="s">
        <v>354</v>
      </c>
      <c r="B19" s="19" t="s">
        <v>355</v>
      </c>
      <c r="C19" s="24">
        <v>0</v>
      </c>
      <c r="D19" s="24">
        <v>0</v>
      </c>
      <c r="E19" s="183"/>
      <c r="F19" s="219"/>
    </row>
    <row r="20" spans="1:6" ht="12" customHeight="1">
      <c r="A20" s="19" t="s">
        <v>356</v>
      </c>
      <c r="B20" s="19" t="s">
        <v>357</v>
      </c>
      <c r="C20" s="24">
        <v>0</v>
      </c>
      <c r="D20" s="24">
        <v>0</v>
      </c>
      <c r="E20" s="183"/>
      <c r="F20" s="219">
        <f>4568797.11+3507552.31+1733755</f>
        <v>9810104.42</v>
      </c>
    </row>
    <row r="21" spans="1:6" ht="12" customHeight="1">
      <c r="A21" s="19" t="s">
        <v>358</v>
      </c>
      <c r="B21" s="19" t="s">
        <v>359</v>
      </c>
      <c r="C21" s="24">
        <v>0</v>
      </c>
      <c r="D21" s="24">
        <v>0</v>
      </c>
      <c r="E21" s="183">
        <v>53734913.92</v>
      </c>
      <c r="F21" s="219">
        <v>56956466.34</v>
      </c>
    </row>
    <row r="22" spans="1:6" ht="12" customHeight="1">
      <c r="A22" s="19" t="s">
        <v>360</v>
      </c>
      <c r="B22" s="19" t="s">
        <v>361</v>
      </c>
      <c r="C22" s="24">
        <v>0</v>
      </c>
      <c r="D22" s="24">
        <v>0</v>
      </c>
      <c r="E22" s="183">
        <v>38417660.09</v>
      </c>
      <c r="F22" s="219">
        <v>19949893.65</v>
      </c>
    </row>
    <row r="23" spans="1:6" ht="12" customHeight="1">
      <c r="A23" s="19" t="s">
        <v>362</v>
      </c>
      <c r="B23" s="19" t="s">
        <v>363</v>
      </c>
      <c r="C23" s="24">
        <v>0</v>
      </c>
      <c r="D23" s="24">
        <v>0</v>
      </c>
      <c r="E23" s="183"/>
      <c r="F23" s="219"/>
    </row>
    <row r="24" spans="1:6" ht="12" customHeight="1">
      <c r="A24" s="19" t="s">
        <v>364</v>
      </c>
      <c r="B24" s="19" t="s">
        <v>197</v>
      </c>
      <c r="C24" s="24">
        <f>172058301-C5</f>
        <v>120896706</v>
      </c>
      <c r="D24" s="183">
        <v>32368485</v>
      </c>
      <c r="E24" s="183"/>
      <c r="F24" s="219"/>
    </row>
    <row r="25" spans="1:6" s="181" customFormat="1" ht="12" customHeight="1">
      <c r="A25" s="19" t="s">
        <v>365</v>
      </c>
      <c r="B25" s="19" t="s">
        <v>625</v>
      </c>
      <c r="C25" s="24">
        <v>0</v>
      </c>
      <c r="D25" s="183"/>
      <c r="E25" s="183">
        <f>1025908500-542.4</f>
        <v>1025907957.6</v>
      </c>
      <c r="F25" s="219">
        <v>839603912.59</v>
      </c>
    </row>
    <row r="26" spans="1:6" ht="12" customHeight="1">
      <c r="A26" s="19" t="s">
        <v>626</v>
      </c>
      <c r="B26" s="19" t="s">
        <v>142</v>
      </c>
      <c r="C26" s="24">
        <v>0</v>
      </c>
      <c r="D26" s="219"/>
      <c r="E26" s="183"/>
      <c r="F26" s="219">
        <f>1920871.35+7131060.4+1778704+7268200.87+374024041.86+13684962.59+99410653.36-441066180</f>
        <v>64152314.43000001</v>
      </c>
    </row>
    <row r="27" spans="1:7" ht="12" customHeight="1">
      <c r="A27" s="19" t="s">
        <v>209</v>
      </c>
      <c r="B27" s="25" t="s">
        <v>118</v>
      </c>
      <c r="C27" s="24">
        <f>SUM(C5:C26)</f>
        <v>172058301</v>
      </c>
      <c r="D27" s="24">
        <f>SUM(D5:D26)</f>
        <v>86077690.8</v>
      </c>
      <c r="E27" s="24">
        <f>SUM(E5:E26)</f>
        <v>5378367699.964162</v>
      </c>
      <c r="F27" s="27">
        <f>SUM(F5:F26)</f>
        <v>4918464703.84</v>
      </c>
      <c r="G27" s="129"/>
    </row>
    <row r="28" spans="1:116" ht="15">
      <c r="A28" s="141" t="s">
        <v>209</v>
      </c>
      <c r="B28" s="141" t="s">
        <v>209</v>
      </c>
      <c r="C28" s="141" t="s">
        <v>209</v>
      </c>
      <c r="D28" s="67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</row>
    <row r="29" spans="1:4" ht="15.75">
      <c r="A29" s="21"/>
      <c r="D29" s="155"/>
    </row>
    <row r="30" spans="1:6" ht="15.75">
      <c r="A30" s="172" t="s">
        <v>366</v>
      </c>
      <c r="B30" s="173"/>
      <c r="C30" s="173"/>
      <c r="D30" s="173"/>
      <c r="E30" s="173"/>
      <c r="F30" s="173"/>
    </row>
    <row r="31" spans="3:4" ht="12" customHeight="1">
      <c r="C31" s="436" t="s">
        <v>1</v>
      </c>
      <c r="D31" s="436"/>
    </row>
    <row r="32" spans="1:4" ht="15">
      <c r="A32" s="23" t="s">
        <v>112</v>
      </c>
      <c r="B32" s="23" t="s">
        <v>19</v>
      </c>
      <c r="C32" s="37" t="s">
        <v>182</v>
      </c>
      <c r="D32" s="34" t="s">
        <v>182</v>
      </c>
    </row>
    <row r="33" spans="1:6" ht="12.75" customHeight="1">
      <c r="A33" s="19" t="s">
        <v>212</v>
      </c>
      <c r="B33" s="19" t="s">
        <v>198</v>
      </c>
      <c r="C33" s="24">
        <v>0</v>
      </c>
      <c r="D33" s="24">
        <v>67042168.4</v>
      </c>
      <c r="E33" s="220"/>
      <c r="F33" s="67"/>
    </row>
    <row r="34" spans="1:5" ht="12.75" customHeight="1">
      <c r="A34" s="19" t="s">
        <v>213</v>
      </c>
      <c r="B34" s="19" t="s">
        <v>367</v>
      </c>
      <c r="C34" s="24">
        <v>0</v>
      </c>
      <c r="D34" s="24">
        <v>0</v>
      </c>
      <c r="E34" s="220"/>
    </row>
    <row r="35" spans="1:5" ht="12.75" customHeight="1">
      <c r="A35" s="19" t="s">
        <v>214</v>
      </c>
      <c r="B35" s="19" t="s">
        <v>199</v>
      </c>
      <c r="C35" s="24">
        <v>0</v>
      </c>
      <c r="D35" s="24">
        <v>0</v>
      </c>
      <c r="E35" s="220"/>
    </row>
    <row r="36" spans="1:5" ht="12.75" customHeight="1">
      <c r="A36" s="19" t="s">
        <v>215</v>
      </c>
      <c r="B36" s="19"/>
      <c r="C36" s="24">
        <v>442948400</v>
      </c>
      <c r="D36" s="24">
        <f>441066210.26-D33</f>
        <v>374024041.86</v>
      </c>
      <c r="E36" s="220"/>
    </row>
    <row r="37" spans="1:4" ht="12.75" customHeight="1">
      <c r="A37" s="19" t="s">
        <v>234</v>
      </c>
      <c r="B37" s="25" t="s">
        <v>118</v>
      </c>
      <c r="C37" s="253">
        <f>SUM(C33:C36)</f>
        <v>442948400</v>
      </c>
      <c r="D37" s="253">
        <f>SUM(D33:D36)</f>
        <v>441066210.26</v>
      </c>
    </row>
    <row r="38" spans="1:116" ht="15">
      <c r="A38" s="141" t="s">
        <v>209</v>
      </c>
      <c r="B38" s="141" t="s">
        <v>209</v>
      </c>
      <c r="C38" s="141" t="s">
        <v>209</v>
      </c>
      <c r="D38" s="129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/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/>
      <c r="DH38" s="426"/>
      <c r="DI38" s="426"/>
      <c r="DJ38" s="426"/>
      <c r="DK38" s="426"/>
      <c r="DL38" s="426"/>
    </row>
    <row r="39" ht="13.5" customHeight="1">
      <c r="A39" s="21"/>
    </row>
    <row r="40" spans="1:6" ht="15" customHeight="1">
      <c r="A40" s="172" t="s">
        <v>368</v>
      </c>
      <c r="B40" s="173"/>
      <c r="C40" s="173"/>
      <c r="D40" s="173"/>
      <c r="E40" s="173"/>
      <c r="F40" s="173"/>
    </row>
    <row r="41" spans="4:5" ht="13.5" customHeight="1">
      <c r="D41" s="436" t="s">
        <v>1</v>
      </c>
      <c r="E41" s="436"/>
    </row>
    <row r="42" spans="1:5" ht="30">
      <c r="A42" s="23" t="s">
        <v>112</v>
      </c>
      <c r="B42" s="34" t="s">
        <v>19</v>
      </c>
      <c r="C42" s="34" t="s">
        <v>200</v>
      </c>
      <c r="D42" s="34" t="s">
        <v>182</v>
      </c>
      <c r="E42" s="34" t="s">
        <v>182</v>
      </c>
    </row>
    <row r="43" spans="1:6" ht="13.5" customHeight="1">
      <c r="A43" s="19" t="s">
        <v>232</v>
      </c>
      <c r="B43" s="19" t="s">
        <v>369</v>
      </c>
      <c r="C43" s="24">
        <v>0</v>
      </c>
      <c r="D43" s="24">
        <v>801019338</v>
      </c>
      <c r="E43" s="24">
        <f>+'ct03.'!D16/81*100-E44-E45</f>
        <v>2907379954.2258024</v>
      </c>
      <c r="F43" s="220"/>
    </row>
    <row r="44" spans="1:6" ht="13.5" customHeight="1">
      <c r="A44" s="19" t="s">
        <v>219</v>
      </c>
      <c r="B44" s="19" t="s">
        <v>370</v>
      </c>
      <c r="C44" s="24">
        <v>0</v>
      </c>
      <c r="D44" s="24">
        <v>727548400</v>
      </c>
      <c r="E44" s="24">
        <f>+D5</f>
        <v>53709205.8</v>
      </c>
      <c r="F44" s="220"/>
    </row>
    <row r="45" spans="1:6" ht="13.5" customHeight="1">
      <c r="A45" s="19" t="s">
        <v>287</v>
      </c>
      <c r="B45" s="19" t="s">
        <v>371</v>
      </c>
      <c r="C45" s="24">
        <v>0</v>
      </c>
      <c r="D45" s="24"/>
      <c r="E45" s="24">
        <f>+F5</f>
        <v>1562476309.11</v>
      </c>
      <c r="F45" s="220"/>
    </row>
    <row r="46" spans="1:6" ht="13.5" customHeight="1">
      <c r="A46" s="19" t="s">
        <v>291</v>
      </c>
      <c r="B46" s="25" t="s">
        <v>118</v>
      </c>
      <c r="C46" s="24">
        <f>SUM(C43:C45)</f>
        <v>0</v>
      </c>
      <c r="D46" s="24">
        <f>SUM(D43:D45)</f>
        <v>1528567738</v>
      </c>
      <c r="E46" s="24">
        <f>SUM(E43:E45)</f>
        <v>4523565469.135802</v>
      </c>
      <c r="F46" s="220"/>
    </row>
    <row r="47" spans="1:116" ht="15">
      <c r="A47" s="141" t="s">
        <v>209</v>
      </c>
      <c r="B47" s="141" t="s">
        <v>209</v>
      </c>
      <c r="C47" s="141" t="s">
        <v>209</v>
      </c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426"/>
      <c r="CJ47" s="426"/>
      <c r="CK47" s="426"/>
      <c r="CL47" s="426"/>
      <c r="CM47" s="426"/>
      <c r="CN47" s="426"/>
      <c r="CO47" s="426"/>
      <c r="CP47" s="426"/>
      <c r="CQ47" s="426"/>
      <c r="CR47" s="426"/>
      <c r="CS47" s="426"/>
      <c r="CT47" s="426"/>
      <c r="CU47" s="426"/>
      <c r="CV47" s="426"/>
      <c r="CW47" s="426"/>
      <c r="CX47" s="426"/>
      <c r="CY47" s="426"/>
      <c r="CZ47" s="426"/>
      <c r="DA47" s="426"/>
      <c r="DB47" s="426"/>
      <c r="DC47" s="426"/>
      <c r="DD47" s="426"/>
      <c r="DE47" s="426"/>
      <c r="DF47" s="426"/>
      <c r="DG47" s="426"/>
      <c r="DH47" s="426"/>
      <c r="DI47" s="426"/>
      <c r="DJ47" s="426"/>
      <c r="DK47" s="426"/>
      <c r="DL47" s="426"/>
    </row>
    <row r="48" ht="13.5" customHeight="1">
      <c r="A48" s="21"/>
    </row>
    <row r="49" spans="1:6" ht="13.5" customHeight="1">
      <c r="A49" s="172" t="s">
        <v>372</v>
      </c>
      <c r="B49" s="173"/>
      <c r="C49" s="173"/>
      <c r="D49" s="173"/>
      <c r="E49" s="173"/>
      <c r="F49" s="173"/>
    </row>
    <row r="50" spans="3:4" ht="15" customHeight="1">
      <c r="C50" s="436" t="s">
        <v>1</v>
      </c>
      <c r="D50" s="436"/>
    </row>
    <row r="51" spans="1:4" ht="17.25" customHeight="1">
      <c r="A51" s="23" t="s">
        <v>112</v>
      </c>
      <c r="B51" s="23" t="s">
        <v>19</v>
      </c>
      <c r="C51" s="34" t="s">
        <v>114</v>
      </c>
      <c r="D51" s="34" t="s">
        <v>121</v>
      </c>
    </row>
    <row r="52" spans="1:5" ht="12.75" customHeight="1">
      <c r="A52" s="19" t="s">
        <v>212</v>
      </c>
      <c r="B52" s="19" t="s">
        <v>201</v>
      </c>
      <c r="C52" s="27">
        <f>+'income statement'!D26</f>
        <v>286166363.17</v>
      </c>
      <c r="D52" s="27">
        <f>+'income statement'!E26</f>
        <v>30674196.4101869</v>
      </c>
      <c r="E52" s="220"/>
    </row>
    <row r="53" spans="1:4" ht="12.75" customHeight="1">
      <c r="A53" s="19" t="s">
        <v>213</v>
      </c>
      <c r="B53" s="19" t="s">
        <v>202</v>
      </c>
      <c r="C53" s="24">
        <v>0</v>
      </c>
      <c r="D53" s="27">
        <v>0</v>
      </c>
    </row>
    <row r="54" spans="1:4" ht="12.75" customHeight="1">
      <c r="A54" s="19" t="s">
        <v>214</v>
      </c>
      <c r="B54" s="25" t="s">
        <v>373</v>
      </c>
      <c r="C54" s="27">
        <f>SUM(C52:C53)</f>
        <v>286166363.17</v>
      </c>
      <c r="D54" s="27">
        <f>SUM(D52:D53)</f>
        <v>30674196.4101869</v>
      </c>
    </row>
    <row r="55" ht="15.75">
      <c r="A55" s="21" t="s">
        <v>216</v>
      </c>
    </row>
    <row r="56" ht="14.25" customHeight="1">
      <c r="A56" s="21"/>
    </row>
    <row r="57" spans="1:6" ht="14.25" customHeight="1">
      <c r="A57" s="172" t="s">
        <v>374</v>
      </c>
      <c r="B57" s="173"/>
      <c r="C57" s="173"/>
      <c r="D57" s="173"/>
      <c r="E57" s="173"/>
      <c r="F57" s="173"/>
    </row>
    <row r="58" spans="5:6" ht="15" customHeight="1">
      <c r="E58" s="436" t="s">
        <v>1</v>
      </c>
      <c r="F58" s="436"/>
    </row>
    <row r="59" spans="1:6" ht="38.25">
      <c r="A59" s="23" t="s">
        <v>112</v>
      </c>
      <c r="B59" s="23" t="s">
        <v>19</v>
      </c>
      <c r="C59" s="36" t="s">
        <v>203</v>
      </c>
      <c r="D59" s="36" t="s">
        <v>204</v>
      </c>
      <c r="E59" s="36" t="s">
        <v>205</v>
      </c>
      <c r="F59" s="36" t="s">
        <v>375</v>
      </c>
    </row>
    <row r="60" spans="1:6" ht="10.5" customHeight="1">
      <c r="A60" s="19" t="s">
        <v>232</v>
      </c>
      <c r="B60" s="19" t="s">
        <v>206</v>
      </c>
      <c r="C60" s="24" t="s">
        <v>209</v>
      </c>
      <c r="D60" s="24" t="s">
        <v>209</v>
      </c>
      <c r="E60" s="24" t="s">
        <v>209</v>
      </c>
      <c r="F60" s="24" t="s">
        <v>209</v>
      </c>
    </row>
    <row r="61" spans="1:6" ht="10.5" customHeight="1">
      <c r="A61" s="19" t="s">
        <v>219</v>
      </c>
      <c r="B61" s="19" t="s">
        <v>207</v>
      </c>
      <c r="C61" s="24" t="s">
        <v>209</v>
      </c>
      <c r="D61" s="24" t="s">
        <v>209</v>
      </c>
      <c r="E61" s="24" t="s">
        <v>209</v>
      </c>
      <c r="F61" s="24" t="s">
        <v>209</v>
      </c>
    </row>
    <row r="62" spans="1:6" ht="10.5" customHeight="1">
      <c r="A62" s="19" t="s">
        <v>287</v>
      </c>
      <c r="B62" s="19" t="s">
        <v>208</v>
      </c>
      <c r="C62" s="24" t="s">
        <v>209</v>
      </c>
      <c r="D62" s="24" t="s">
        <v>209</v>
      </c>
      <c r="E62" s="24" t="s">
        <v>209</v>
      </c>
      <c r="F62" s="24" t="s">
        <v>209</v>
      </c>
    </row>
    <row r="63" spans="1:116" ht="15">
      <c r="A63" s="141" t="s">
        <v>209</v>
      </c>
      <c r="B63" s="141" t="s">
        <v>209</v>
      </c>
      <c r="C63" s="141" t="s">
        <v>209</v>
      </c>
      <c r="BL63" s="426"/>
      <c r="BM63" s="426"/>
      <c r="BN63" s="426"/>
      <c r="BO63" s="426"/>
      <c r="BP63" s="426"/>
      <c r="BQ63" s="426"/>
      <c r="BR63" s="426"/>
      <c r="BS63" s="426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426"/>
      <c r="CJ63" s="426"/>
      <c r="CK63" s="426"/>
      <c r="CL63" s="426"/>
      <c r="CM63" s="426"/>
      <c r="CN63" s="426"/>
      <c r="CO63" s="426"/>
      <c r="CP63" s="426"/>
      <c r="CQ63" s="426"/>
      <c r="CR63" s="426"/>
      <c r="CS63" s="426"/>
      <c r="CT63" s="426"/>
      <c r="CU63" s="426"/>
      <c r="CV63" s="426"/>
      <c r="CW63" s="426"/>
      <c r="CX63" s="426"/>
      <c r="CY63" s="426"/>
      <c r="CZ63" s="426"/>
      <c r="DA63" s="426"/>
      <c r="DB63" s="426"/>
      <c r="DC63" s="426"/>
      <c r="DD63" s="426"/>
      <c r="DE63" s="426"/>
      <c r="DF63" s="426"/>
      <c r="DG63" s="426"/>
      <c r="DH63" s="426"/>
      <c r="DI63" s="426"/>
      <c r="DJ63" s="426"/>
      <c r="DK63" s="426"/>
      <c r="DL63" s="426"/>
    </row>
    <row r="64" spans="1:6" ht="14.25" customHeight="1">
      <c r="A64" s="172" t="s">
        <v>376</v>
      </c>
      <c r="B64" s="173"/>
      <c r="C64" s="173"/>
      <c r="D64" s="173"/>
      <c r="E64" s="173"/>
      <c r="F64" s="173"/>
    </row>
    <row r="65" spans="3:4" ht="13.5" customHeight="1">
      <c r="C65" s="436" t="s">
        <v>1</v>
      </c>
      <c r="D65" s="436"/>
    </row>
    <row r="66" spans="1:4" ht="15">
      <c r="A66" s="23" t="s">
        <v>112</v>
      </c>
      <c r="B66" s="23" t="s">
        <v>19</v>
      </c>
      <c r="C66" s="34" t="s">
        <v>114</v>
      </c>
      <c r="D66" s="34" t="s">
        <v>121</v>
      </c>
    </row>
    <row r="67" spans="1:4" ht="11.25" customHeight="1">
      <c r="A67" s="19" t="s">
        <v>232</v>
      </c>
      <c r="B67" s="19" t="s">
        <v>377</v>
      </c>
      <c r="C67" s="24">
        <v>0</v>
      </c>
      <c r="D67" s="24">
        <v>0</v>
      </c>
    </row>
    <row r="68" spans="1:4" ht="11.25" customHeight="1">
      <c r="A68" s="19" t="s">
        <v>219</v>
      </c>
      <c r="B68" s="19" t="s">
        <v>378</v>
      </c>
      <c r="C68" s="24">
        <v>0</v>
      </c>
      <c r="D68" s="24">
        <v>0</v>
      </c>
    </row>
    <row r="69" spans="1:4" ht="11.25" customHeight="1">
      <c r="A69" s="19" t="s">
        <v>287</v>
      </c>
      <c r="B69" s="19" t="s">
        <v>379</v>
      </c>
      <c r="C69" s="24">
        <v>0</v>
      </c>
      <c r="D69" s="24">
        <v>0</v>
      </c>
    </row>
    <row r="70" spans="1:4" ht="11.25" customHeight="1">
      <c r="A70" s="19" t="s">
        <v>291</v>
      </c>
      <c r="B70" s="19" t="s">
        <v>380</v>
      </c>
      <c r="C70" s="24">
        <v>0</v>
      </c>
      <c r="D70" s="24">
        <v>0</v>
      </c>
    </row>
    <row r="71" spans="1:4" ht="11.25" customHeight="1">
      <c r="A71" s="19" t="s">
        <v>293</v>
      </c>
      <c r="B71" s="19" t="s">
        <v>381</v>
      </c>
      <c r="C71" s="24">
        <v>0</v>
      </c>
      <c r="D71" s="24">
        <v>0</v>
      </c>
    </row>
    <row r="72" spans="1:4" ht="11.25" customHeight="1">
      <c r="A72" s="19" t="s">
        <v>294</v>
      </c>
      <c r="B72" s="25" t="s">
        <v>118</v>
      </c>
      <c r="C72" s="24">
        <v>0</v>
      </c>
      <c r="D72" s="24">
        <v>0</v>
      </c>
    </row>
    <row r="73" ht="15.75">
      <c r="A73" s="21" t="s">
        <v>216</v>
      </c>
    </row>
    <row r="74" ht="13.5" customHeight="1">
      <c r="A74" s="21"/>
    </row>
    <row r="75" spans="1:6" ht="13.5" customHeight="1">
      <c r="A75" s="172" t="s">
        <v>382</v>
      </c>
      <c r="B75" s="173"/>
      <c r="C75" s="173"/>
      <c r="D75" s="173"/>
      <c r="E75" s="173"/>
      <c r="F75" s="173"/>
    </row>
    <row r="76" spans="3:5" ht="13.5" customHeight="1">
      <c r="C76" s="436" t="s">
        <v>1</v>
      </c>
      <c r="D76" s="436"/>
      <c r="E76" s="22"/>
    </row>
    <row r="77" spans="1:5" ht="30">
      <c r="A77" s="23" t="s">
        <v>112</v>
      </c>
      <c r="B77" s="23" t="s">
        <v>19</v>
      </c>
      <c r="C77" s="34" t="s">
        <v>383</v>
      </c>
      <c r="D77" s="34" t="s">
        <v>384</v>
      </c>
      <c r="E77" s="34" t="s">
        <v>375</v>
      </c>
    </row>
    <row r="78" spans="1:5" ht="15">
      <c r="A78" s="19" t="s">
        <v>212</v>
      </c>
      <c r="B78" s="19" t="s">
        <v>209</v>
      </c>
      <c r="C78" s="24" t="s">
        <v>209</v>
      </c>
      <c r="D78" s="24" t="s">
        <v>209</v>
      </c>
      <c r="E78" s="24" t="s">
        <v>209</v>
      </c>
    </row>
    <row r="79" spans="1:116" ht="15">
      <c r="A79" s="141" t="s">
        <v>209</v>
      </c>
      <c r="B79" s="141" t="s">
        <v>209</v>
      </c>
      <c r="C79" s="141" t="s">
        <v>209</v>
      </c>
      <c r="BL79" s="426"/>
      <c r="BM79" s="426"/>
      <c r="BN79" s="426"/>
      <c r="BO79" s="426"/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</row>
    <row r="80" ht="15">
      <c r="B80" s="141" t="s">
        <v>420</v>
      </c>
    </row>
    <row r="81" ht="15">
      <c r="B81" s="141" t="s">
        <v>419</v>
      </c>
    </row>
  </sheetData>
  <sheetProtection/>
  <mergeCells count="12">
    <mergeCell ref="BL79:DL79"/>
    <mergeCell ref="E58:F58"/>
    <mergeCell ref="BL28:DL28"/>
    <mergeCell ref="BL38:DL38"/>
    <mergeCell ref="BL47:DL47"/>
    <mergeCell ref="BL63:DL63"/>
    <mergeCell ref="C76:D76"/>
    <mergeCell ref="D3:E3"/>
    <mergeCell ref="C31:D31"/>
    <mergeCell ref="D41:E41"/>
    <mergeCell ref="C50:D50"/>
    <mergeCell ref="C65:D65"/>
  </mergeCells>
  <printOptions/>
  <pageMargins left="0.7086614173228347" right="0" top="0" bottom="0" header="0.31496062992125984" footer="0.31496062992125984"/>
  <pageSetup horizontalDpi="600" verticalDpi="6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P37"/>
  <sheetViews>
    <sheetView zoomScalePageLayoutView="0" workbookViewId="0" topLeftCell="A1">
      <selection activeCell="G33" sqref="G33"/>
    </sheetView>
  </sheetViews>
  <sheetFormatPr defaultColWidth="9.140625" defaultRowHeight="15"/>
  <cols>
    <col min="1" max="2" width="4.421875" style="141" customWidth="1"/>
    <col min="3" max="3" width="32.00390625" style="141" customWidth="1"/>
    <col min="4" max="4" width="8.421875" style="141" customWidth="1"/>
    <col min="5" max="5" width="10.421875" style="141" customWidth="1"/>
    <col min="6" max="6" width="11.8515625" style="141" customWidth="1"/>
    <col min="7" max="7" width="9.421875" style="141" customWidth="1"/>
    <col min="8" max="8" width="7.8515625" style="141" customWidth="1"/>
    <col min="9" max="9" width="11.00390625" style="141" customWidth="1"/>
    <col min="10" max="10" width="8.28125" style="141" customWidth="1"/>
    <col min="11" max="11" width="9.140625" style="141" customWidth="1"/>
    <col min="12" max="13" width="8.8515625" style="141" customWidth="1"/>
    <col min="14" max="14" width="9.8515625" style="141" customWidth="1"/>
    <col min="15" max="15" width="11.00390625" style="141" customWidth="1"/>
    <col min="16" max="21" width="17.421875" style="141" customWidth="1"/>
    <col min="22" max="16384" width="11.421875" style="141" customWidth="1"/>
  </cols>
  <sheetData>
    <row r="1" ht="15.75">
      <c r="B1" s="21"/>
    </row>
    <row r="2" spans="2:15" ht="15.75">
      <c r="B2" s="172" t="s">
        <v>385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ht="30">
      <c r="O3" s="22" t="s">
        <v>211</v>
      </c>
    </row>
    <row r="4" spans="2:15" ht="48.75" customHeight="1">
      <c r="B4" s="23" t="s">
        <v>112</v>
      </c>
      <c r="C4" s="23" t="s">
        <v>19</v>
      </c>
      <c r="D4" s="36" t="s">
        <v>121</v>
      </c>
      <c r="E4" s="36" t="s">
        <v>386</v>
      </c>
      <c r="F4" s="36" t="s">
        <v>387</v>
      </c>
      <c r="G4" s="36" t="s">
        <v>388</v>
      </c>
      <c r="H4" s="36" t="s">
        <v>389</v>
      </c>
      <c r="I4" s="36" t="s">
        <v>390</v>
      </c>
      <c r="J4" s="36" t="s">
        <v>391</v>
      </c>
      <c r="K4" s="36" t="s">
        <v>392</v>
      </c>
      <c r="L4" s="36" t="s">
        <v>393</v>
      </c>
      <c r="M4" s="36" t="s">
        <v>394</v>
      </c>
      <c r="N4" s="36" t="s">
        <v>384</v>
      </c>
      <c r="O4" s="36" t="s">
        <v>121</v>
      </c>
    </row>
    <row r="5" spans="2:15" ht="15">
      <c r="B5" s="19" t="s">
        <v>209</v>
      </c>
      <c r="C5" s="25" t="s">
        <v>395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</row>
    <row r="6" spans="2:15" ht="14.25" customHeight="1">
      <c r="B6" s="19" t="s">
        <v>239</v>
      </c>
      <c r="C6" s="19" t="s">
        <v>138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</row>
    <row r="7" spans="2:15" ht="14.25" customHeight="1">
      <c r="B7" s="19" t="s">
        <v>240</v>
      </c>
      <c r="C7" s="19" t="s">
        <v>238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spans="2:15" ht="14.25" customHeight="1">
      <c r="B8" s="19" t="s">
        <v>241</v>
      </c>
      <c r="C8" s="19" t="s">
        <v>396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</row>
    <row r="9" spans="2:15" ht="14.25" customHeight="1">
      <c r="B9" s="19" t="s">
        <v>242</v>
      </c>
      <c r="C9" s="19" t="s">
        <v>397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2:15" ht="14.25" customHeight="1">
      <c r="B10" s="19" t="s">
        <v>245</v>
      </c>
      <c r="C10" s="19" t="s">
        <v>398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2:15" ht="14.25" customHeight="1">
      <c r="B11" s="19" t="s">
        <v>249</v>
      </c>
      <c r="C11" s="19" t="s">
        <v>139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</row>
    <row r="12" spans="2:15" ht="14.25" customHeight="1">
      <c r="B12" s="19" t="s">
        <v>250</v>
      </c>
      <c r="C12" s="19" t="s">
        <v>140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</row>
    <row r="13" spans="2:15" ht="14.25" customHeight="1">
      <c r="B13" s="19" t="s">
        <v>251</v>
      </c>
      <c r="C13" s="19" t="s">
        <v>141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</row>
    <row r="14" spans="2:15" ht="14.25" customHeight="1">
      <c r="B14" s="19" t="s">
        <v>399</v>
      </c>
      <c r="C14" s="19" t="s">
        <v>6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</row>
    <row r="15" spans="2:15" ht="14.25" customHeight="1">
      <c r="B15" s="19" t="s">
        <v>400</v>
      </c>
      <c r="C15" s="19" t="s">
        <v>401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2:15" ht="14.25" customHeight="1">
      <c r="B16" s="19" t="s">
        <v>402</v>
      </c>
      <c r="C16" s="19" t="s">
        <v>403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2:15" ht="14.25" customHeight="1">
      <c r="B17" s="19" t="s">
        <v>404</v>
      </c>
      <c r="C17" s="25" t="s">
        <v>405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2:15" ht="14.25" customHeight="1">
      <c r="B18" s="19" t="s">
        <v>209</v>
      </c>
      <c r="C18" s="25" t="s">
        <v>406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" ht="14.25" customHeight="1">
      <c r="B19" s="19" t="s">
        <v>252</v>
      </c>
      <c r="C19" s="19" t="s">
        <v>153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</row>
    <row r="20" spans="2:15" ht="14.25" customHeight="1">
      <c r="B20" s="19" t="s">
        <v>253</v>
      </c>
      <c r="C20" s="19" t="s">
        <v>154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2:15" ht="14.25" customHeight="1">
      <c r="B21" s="19" t="s">
        <v>254</v>
      </c>
      <c r="C21" s="19" t="s">
        <v>407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2:15" ht="14.25" customHeight="1">
      <c r="B22" s="19" t="s">
        <v>255</v>
      </c>
      <c r="C22" s="19" t="s">
        <v>408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</row>
    <row r="23" spans="2:15" ht="14.25" customHeight="1">
      <c r="B23" s="19" t="s">
        <v>258</v>
      </c>
      <c r="C23" s="19" t="s">
        <v>155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2:15" ht="14.25" customHeight="1">
      <c r="B24" s="19" t="s">
        <v>263</v>
      </c>
      <c r="C24" s="19" t="s">
        <v>156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</row>
    <row r="25" spans="2:15" ht="14.25" customHeight="1">
      <c r="B25" s="19" t="s">
        <v>409</v>
      </c>
      <c r="C25" s="19" t="s">
        <v>157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  <row r="26" spans="2:15" ht="14.25" customHeight="1">
      <c r="B26" s="19" t="s">
        <v>410</v>
      </c>
      <c r="C26" s="19" t="s">
        <v>272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</row>
    <row r="27" spans="2:15" ht="14.25" customHeight="1">
      <c r="B27" s="19" t="s">
        <v>411</v>
      </c>
      <c r="C27" s="19" t="s">
        <v>158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</row>
    <row r="28" spans="2:15" ht="14.25" customHeight="1">
      <c r="B28" s="19" t="s">
        <v>412</v>
      </c>
      <c r="C28" s="19" t="s">
        <v>413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</row>
    <row r="29" spans="2:15" ht="14.25" customHeight="1">
      <c r="B29" s="19" t="s">
        <v>414</v>
      </c>
      <c r="C29" s="25" t="s">
        <v>415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  <row r="30" spans="2:15" ht="14.25" customHeight="1">
      <c r="B30" s="19" t="s">
        <v>214</v>
      </c>
      <c r="C30" s="25" t="s">
        <v>416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</row>
    <row r="31" spans="2:15" ht="14.25" customHeight="1">
      <c r="B31" s="19" t="s">
        <v>221</v>
      </c>
      <c r="C31" s="19" t="s">
        <v>417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</row>
    <row r="32" spans="2:15" ht="14.25" customHeight="1">
      <c r="B32" s="19" t="s">
        <v>223</v>
      </c>
      <c r="C32" s="19" t="s">
        <v>5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</row>
    <row r="33" spans="2:15" ht="14.25" customHeight="1">
      <c r="B33" s="19" t="s">
        <v>215</v>
      </c>
      <c r="C33" s="25" t="s">
        <v>118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</row>
    <row r="34" spans="1:120" ht="14.25" customHeight="1">
      <c r="A34" s="141" t="s">
        <v>209</v>
      </c>
      <c r="B34" s="141" t="s">
        <v>209</v>
      </c>
      <c r="C34" s="141" t="s">
        <v>209</v>
      </c>
      <c r="D34" s="141" t="s">
        <v>209</v>
      </c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6"/>
      <c r="DK34" s="426"/>
      <c r="DL34" s="426"/>
      <c r="DM34" s="426"/>
      <c r="DN34" s="426"/>
      <c r="DO34" s="426"/>
      <c r="DP34" s="426"/>
    </row>
    <row r="35" ht="15">
      <c r="E35" s="18" t="s">
        <v>418</v>
      </c>
    </row>
    <row r="36" ht="15">
      <c r="E36" s="18"/>
    </row>
    <row r="37" ht="15">
      <c r="E37" s="18" t="s">
        <v>419</v>
      </c>
    </row>
  </sheetData>
  <sheetProtection/>
  <mergeCells count="1">
    <mergeCell ref="BP34:DP34"/>
  </mergeCells>
  <printOptions/>
  <pageMargins left="0" right="0" top="0.7480314960629921" bottom="0" header="0" footer="0"/>
  <pageSetup horizontalDpi="600" verticalDpi="600" orientation="landscape" paperSize="9" scale="9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P48"/>
  <sheetViews>
    <sheetView zoomScalePageLayoutView="0" workbookViewId="0" topLeftCell="A4">
      <selection activeCell="E42" sqref="E42"/>
    </sheetView>
  </sheetViews>
  <sheetFormatPr defaultColWidth="8.8515625" defaultRowHeight="15"/>
  <cols>
    <col min="1" max="2" width="8.8515625" style="0" customWidth="1"/>
    <col min="3" max="3" width="29.8515625" style="0" customWidth="1"/>
    <col min="4" max="4" width="14.28125" style="0" customWidth="1"/>
    <col min="5" max="5" width="14.8515625" style="0" customWidth="1"/>
    <col min="6" max="21" width="17.421875" style="0" customWidth="1"/>
  </cols>
  <sheetData>
    <row r="1" ht="15.75">
      <c r="B1" s="92" t="s">
        <v>446</v>
      </c>
    </row>
    <row r="2" ht="15.75">
      <c r="B2" s="92" t="s">
        <v>445</v>
      </c>
    </row>
    <row r="3" ht="15.75">
      <c r="B3" s="21" t="s">
        <v>210</v>
      </c>
    </row>
    <row r="4" ht="15">
      <c r="E4" s="22" t="s">
        <v>211</v>
      </c>
    </row>
    <row r="5" spans="2:5" ht="30">
      <c r="B5" s="23" t="s">
        <v>112</v>
      </c>
      <c r="C5" s="23" t="s">
        <v>19</v>
      </c>
      <c r="D5" s="23" t="s">
        <v>114</v>
      </c>
      <c r="E5" s="23" t="s">
        <v>121</v>
      </c>
    </row>
    <row r="6" spans="2:5" ht="15">
      <c r="B6" s="19" t="s">
        <v>212</v>
      </c>
      <c r="C6" s="19" t="s">
        <v>115</v>
      </c>
      <c r="D6" s="24">
        <v>0</v>
      </c>
      <c r="E6" s="24">
        <v>0</v>
      </c>
    </row>
    <row r="7" spans="2:5" ht="15">
      <c r="B7" s="19" t="s">
        <v>213</v>
      </c>
      <c r="C7" s="19" t="s">
        <v>116</v>
      </c>
      <c r="D7" s="24">
        <f>+'balance sheet'!D8</f>
        <v>458005676.86</v>
      </c>
      <c r="E7" s="24">
        <f>+'balance sheet'!E8</f>
        <v>481779771.6999998</v>
      </c>
    </row>
    <row r="8" spans="2:5" ht="15">
      <c r="B8" s="19" t="s">
        <v>214</v>
      </c>
      <c r="C8" s="19" t="s">
        <v>117</v>
      </c>
      <c r="D8" s="24"/>
      <c r="E8" s="24"/>
    </row>
    <row r="9" spans="2:5" ht="15">
      <c r="B9" s="19" t="s">
        <v>215</v>
      </c>
      <c r="C9" s="25" t="s">
        <v>118</v>
      </c>
      <c r="D9" s="24">
        <f>SUM(D6:D8)</f>
        <v>458005676.86</v>
      </c>
      <c r="E9" s="24">
        <f>SUM(E6:E8)</f>
        <v>481779771.6999998</v>
      </c>
    </row>
    <row r="10" spans="2:5" ht="15.75">
      <c r="B10" s="21" t="s">
        <v>216</v>
      </c>
      <c r="D10" s="67">
        <f>+D9-'balance sheet'!D8</f>
        <v>0</v>
      </c>
      <c r="E10" s="67">
        <f>+E9-'balance sheet'!E8</f>
        <v>0</v>
      </c>
    </row>
    <row r="11" ht="15">
      <c r="B11" s="22" t="s">
        <v>209</v>
      </c>
    </row>
    <row r="12" ht="15.75">
      <c r="B12" s="92" t="s">
        <v>445</v>
      </c>
    </row>
    <row r="13" ht="15.75">
      <c r="B13" s="21" t="s">
        <v>217</v>
      </c>
    </row>
    <row r="14" ht="15">
      <c r="F14" s="22" t="s">
        <v>211</v>
      </c>
    </row>
    <row r="15" spans="2:6" ht="45">
      <c r="B15" s="23" t="s">
        <v>112</v>
      </c>
      <c r="C15" s="23" t="s">
        <v>19</v>
      </c>
      <c r="D15" s="23" t="s">
        <v>3</v>
      </c>
      <c r="E15" s="23" t="s">
        <v>218</v>
      </c>
      <c r="F15" s="23" t="s">
        <v>119</v>
      </c>
    </row>
    <row r="16" spans="2:6" ht="15">
      <c r="B16" s="19" t="s">
        <v>212</v>
      </c>
      <c r="C16" s="19" t="s">
        <v>114</v>
      </c>
      <c r="D16" s="24">
        <v>3050762505.4005003</v>
      </c>
      <c r="E16" s="24">
        <v>0</v>
      </c>
      <c r="F16" s="24">
        <f>+D16+E16</f>
        <v>3050762505.4005003</v>
      </c>
    </row>
    <row r="17" spans="2:6" ht="15">
      <c r="B17" s="19" t="s">
        <v>219</v>
      </c>
      <c r="C17" s="19" t="s">
        <v>120</v>
      </c>
      <c r="D17" s="24">
        <v>3997932143.75</v>
      </c>
      <c r="E17" s="24">
        <v>0</v>
      </c>
      <c r="F17" s="24">
        <f>+D17+E17</f>
        <v>3997932143.75</v>
      </c>
    </row>
    <row r="18" spans="2:6" ht="15">
      <c r="B18" s="19" t="s">
        <v>214</v>
      </c>
      <c r="C18" s="19" t="s">
        <v>220</v>
      </c>
      <c r="D18" s="24">
        <v>2748949616.27</v>
      </c>
      <c r="E18" s="24">
        <f>SUM(E19:E20)</f>
        <v>0</v>
      </c>
      <c r="F18" s="24">
        <f>SUM(F19:F20)</f>
        <v>2748949616.15</v>
      </c>
    </row>
    <row r="19" spans="2:6" ht="15">
      <c r="B19" s="19" t="s">
        <v>221</v>
      </c>
      <c r="C19" s="19" t="s">
        <v>222</v>
      </c>
      <c r="D19" s="24">
        <v>2748949616.15</v>
      </c>
      <c r="E19" s="24">
        <v>0</v>
      </c>
      <c r="F19" s="24">
        <f>+D19</f>
        <v>2748949616.15</v>
      </c>
    </row>
    <row r="20" spans="2:6" ht="15">
      <c r="B20" s="19" t="s">
        <v>223</v>
      </c>
      <c r="C20" s="19" t="s">
        <v>224</v>
      </c>
      <c r="D20" s="24">
        <v>0</v>
      </c>
      <c r="E20" s="24">
        <v>0</v>
      </c>
      <c r="F20" s="24">
        <v>0</v>
      </c>
    </row>
    <row r="21" spans="2:6" ht="15">
      <c r="B21" s="19" t="s">
        <v>215</v>
      </c>
      <c r="C21" s="19" t="s">
        <v>121</v>
      </c>
      <c r="D21" s="24">
        <f>+D16+D17-D18</f>
        <v>4299745032.880501</v>
      </c>
      <c r="E21" s="24">
        <f>+E16+E17-E18</f>
        <v>0</v>
      </c>
      <c r="F21" s="24">
        <f>+F16+F17-F18</f>
        <v>4299745033.0005</v>
      </c>
    </row>
    <row r="22" spans="1:120" ht="15">
      <c r="D22" s="67"/>
      <c r="F22" s="67">
        <f>+F21-'balance sheet'!E9</f>
        <v>-1213432973.937584</v>
      </c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</row>
    <row r="23" ht="15.75">
      <c r="B23" s="92" t="s">
        <v>445</v>
      </c>
    </row>
    <row r="24" ht="15.75">
      <c r="B24" s="21" t="s">
        <v>225</v>
      </c>
    </row>
    <row r="25" ht="15">
      <c r="E25" s="22" t="s">
        <v>211</v>
      </c>
    </row>
    <row r="26" spans="2:5" ht="30">
      <c r="B26" s="23" t="s">
        <v>112</v>
      </c>
      <c r="C26" s="23" t="s">
        <v>19</v>
      </c>
      <c r="D26" s="23" t="s">
        <v>121</v>
      </c>
      <c r="E26" s="23" t="s">
        <v>121</v>
      </c>
    </row>
    <row r="27" spans="2:5" ht="15">
      <c r="B27" s="19" t="s">
        <v>212</v>
      </c>
      <c r="C27" s="19" t="s">
        <v>226</v>
      </c>
      <c r="D27" s="24">
        <v>0</v>
      </c>
      <c r="E27" s="24">
        <v>0</v>
      </c>
    </row>
    <row r="28" spans="2:5" ht="15">
      <c r="B28" s="19" t="s">
        <v>213</v>
      </c>
      <c r="C28" s="19" t="s">
        <v>122</v>
      </c>
      <c r="D28" s="24">
        <v>0</v>
      </c>
      <c r="E28" s="24">
        <v>0</v>
      </c>
    </row>
    <row r="29" spans="2:5" ht="15">
      <c r="B29" s="19" t="s">
        <v>214</v>
      </c>
      <c r="C29" s="19" t="s">
        <v>227</v>
      </c>
      <c r="D29" s="24">
        <v>4364279.85</v>
      </c>
      <c r="E29" s="24">
        <v>95938526.06</v>
      </c>
    </row>
    <row r="30" spans="2:5" ht="15">
      <c r="B30" s="19" t="s">
        <v>215</v>
      </c>
      <c r="C30" s="19"/>
      <c r="D30" s="24">
        <v>0</v>
      </c>
      <c r="E30" s="24">
        <v>0</v>
      </c>
    </row>
    <row r="31" spans="2:5" ht="15">
      <c r="B31" s="19" t="s">
        <v>209</v>
      </c>
      <c r="C31" s="25" t="s">
        <v>118</v>
      </c>
      <c r="D31" s="24">
        <v>0</v>
      </c>
      <c r="E31" s="24">
        <v>0</v>
      </c>
    </row>
    <row r="32" spans="1:120" ht="15"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  <c r="DE32" s="426"/>
      <c r="DF32" s="426"/>
      <c r="DG32" s="426"/>
      <c r="DH32" s="426"/>
      <c r="DI32" s="426"/>
      <c r="DJ32" s="426"/>
      <c r="DK32" s="426"/>
      <c r="DL32" s="426"/>
      <c r="DM32" s="426"/>
      <c r="DN32" s="426"/>
      <c r="DO32" s="426"/>
      <c r="DP32" s="426"/>
    </row>
    <row r="33" ht="15.75">
      <c r="B33" s="92" t="s">
        <v>445</v>
      </c>
    </row>
    <row r="34" ht="15.75">
      <c r="B34" s="21" t="s">
        <v>228</v>
      </c>
    </row>
    <row r="35" ht="15">
      <c r="E35" s="22" t="s">
        <v>211</v>
      </c>
    </row>
    <row r="36" spans="2:5" ht="30">
      <c r="B36" s="23" t="s">
        <v>112</v>
      </c>
      <c r="C36" s="23" t="s">
        <v>19</v>
      </c>
      <c r="D36" s="23" t="s">
        <v>121</v>
      </c>
      <c r="E36" s="23" t="s">
        <v>121</v>
      </c>
    </row>
    <row r="37" spans="2:5" ht="30.75" customHeight="1">
      <c r="B37" s="19" t="s">
        <v>212</v>
      </c>
      <c r="C37" s="19" t="s">
        <v>229</v>
      </c>
      <c r="D37" s="24">
        <v>0</v>
      </c>
      <c r="E37" s="24">
        <v>0</v>
      </c>
    </row>
    <row r="38" spans="2:5" ht="15">
      <c r="B38" s="19" t="s">
        <v>213</v>
      </c>
      <c r="C38" s="19" t="s">
        <v>123</v>
      </c>
      <c r="D38" s="24">
        <v>0</v>
      </c>
      <c r="E38" s="24">
        <v>0</v>
      </c>
    </row>
    <row r="39" spans="2:5" ht="15">
      <c r="B39" s="19" t="s">
        <v>214</v>
      </c>
      <c r="C39" s="19" t="s">
        <v>230</v>
      </c>
      <c r="D39" s="24">
        <v>0</v>
      </c>
      <c r="E39" s="24">
        <v>0</v>
      </c>
    </row>
    <row r="40" spans="2:5" ht="15">
      <c r="B40" s="19" t="s">
        <v>215</v>
      </c>
      <c r="C40" s="19" t="s">
        <v>124</v>
      </c>
      <c r="D40" s="24">
        <v>0</v>
      </c>
      <c r="E40" s="24">
        <v>0</v>
      </c>
    </row>
    <row r="41" spans="2:5" ht="17.25" customHeight="1">
      <c r="B41" s="19" t="s">
        <v>215</v>
      </c>
      <c r="C41" s="19" t="s">
        <v>125</v>
      </c>
      <c r="D41" s="24">
        <v>0</v>
      </c>
      <c r="E41" s="24">
        <v>0</v>
      </c>
    </row>
    <row r="42" spans="2:5" ht="17.25" customHeight="1">
      <c r="B42" s="19" t="s">
        <v>215</v>
      </c>
      <c r="C42" s="19" t="s">
        <v>126</v>
      </c>
      <c r="D42" s="24">
        <v>490496125.16</v>
      </c>
      <c r="E42" s="24">
        <v>471077608.46</v>
      </c>
    </row>
    <row r="43" spans="2:5" ht="15">
      <c r="B43" s="19" t="s">
        <v>215</v>
      </c>
      <c r="C43" s="19"/>
      <c r="D43" s="24">
        <v>0</v>
      </c>
      <c r="E43" s="24">
        <v>0</v>
      </c>
    </row>
    <row r="44" spans="2:5" ht="15">
      <c r="B44" s="19" t="s">
        <v>215</v>
      </c>
      <c r="C44" s="25" t="s">
        <v>118</v>
      </c>
      <c r="D44" s="24">
        <v>0</v>
      </c>
      <c r="E44" s="24">
        <v>0</v>
      </c>
    </row>
    <row r="45" ht="15.75">
      <c r="B45" s="21" t="s">
        <v>216</v>
      </c>
    </row>
    <row r="46" spans="3:5" ht="15" customHeight="1">
      <c r="C46" s="18" t="s">
        <v>418</v>
      </c>
      <c r="D46" s="18"/>
      <c r="E46" s="18"/>
    </row>
    <row r="47" spans="3:5" ht="15" customHeight="1">
      <c r="C47" s="18"/>
      <c r="D47" s="18"/>
      <c r="E47" s="18"/>
    </row>
    <row r="48" spans="3:5" ht="15" customHeight="1">
      <c r="C48" s="18" t="s">
        <v>419</v>
      </c>
      <c r="D48" s="18"/>
      <c r="E48" s="18"/>
    </row>
  </sheetData>
  <sheetProtection/>
  <mergeCells count="2">
    <mergeCell ref="BP32:DP32"/>
    <mergeCell ref="BP22:DP22"/>
  </mergeCells>
  <printOptions/>
  <pageMargins left="0.5905511811023623" right="0" top="0" bottom="0" header="0.31496062992125984" footer="0.31496062992125984"/>
  <pageSetup horizontalDpi="600" verticalDpi="600" orientation="portrait" scale="9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28">
      <selection activeCell="F22" sqref="F22"/>
    </sheetView>
  </sheetViews>
  <sheetFormatPr defaultColWidth="8.8515625" defaultRowHeight="15"/>
  <cols>
    <col min="1" max="1" width="8.8515625" style="0" customWidth="1"/>
    <col min="2" max="2" width="5.28125" style="0" customWidth="1"/>
    <col min="3" max="3" width="28.00390625" style="0" customWidth="1"/>
    <col min="4" max="5" width="17.421875" style="0" customWidth="1"/>
    <col min="6" max="6" width="16.421875" style="0" customWidth="1"/>
    <col min="7" max="7" width="17.7109375" style="0" bestFit="1" customWidth="1"/>
    <col min="8" max="8" width="16.28125" style="0" customWidth="1"/>
    <col min="9" max="9" width="16.7109375" style="0" bestFit="1" customWidth="1"/>
    <col min="10" max="10" width="15.28125" style="0" customWidth="1"/>
    <col min="11" max="21" width="17.421875" style="0" customWidth="1"/>
  </cols>
  <sheetData>
    <row r="1" ht="15.75">
      <c r="B1" s="92" t="s">
        <v>445</v>
      </c>
    </row>
    <row r="2" ht="15.75">
      <c r="B2" s="21" t="s">
        <v>231</v>
      </c>
    </row>
    <row r="3" ht="15">
      <c r="E3" s="22" t="s">
        <v>211</v>
      </c>
    </row>
    <row r="4" spans="2:5" ht="30">
      <c r="B4" s="23" t="s">
        <v>112</v>
      </c>
      <c r="C4" s="23" t="s">
        <v>19</v>
      </c>
      <c r="D4" s="23" t="s">
        <v>121</v>
      </c>
      <c r="E4" s="23" t="s">
        <v>121</v>
      </c>
    </row>
    <row r="5" spans="2:5" ht="15">
      <c r="B5" s="19" t="s">
        <v>232</v>
      </c>
      <c r="C5" s="19"/>
      <c r="D5" s="24">
        <v>0</v>
      </c>
      <c r="E5" s="24">
        <v>0</v>
      </c>
    </row>
    <row r="6" spans="2:5" ht="15">
      <c r="B6" s="19" t="s">
        <v>209</v>
      </c>
      <c r="C6" s="25" t="s">
        <v>118</v>
      </c>
      <c r="D6" s="24">
        <v>0</v>
      </c>
      <c r="E6" s="24">
        <v>0</v>
      </c>
    </row>
    <row r="7" spans="1:120" ht="15"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</row>
    <row r="8" ht="15.75">
      <c r="B8" s="21" t="s">
        <v>233</v>
      </c>
    </row>
    <row r="9" ht="15">
      <c r="J9" s="22" t="s">
        <v>211</v>
      </c>
    </row>
    <row r="10" spans="2:11" ht="45" customHeight="1">
      <c r="B10" s="68" t="s">
        <v>112</v>
      </c>
      <c r="C10" s="68" t="s">
        <v>19</v>
      </c>
      <c r="D10" s="437" t="s">
        <v>423</v>
      </c>
      <c r="E10" s="437"/>
      <c r="F10" s="437"/>
      <c r="G10" s="437"/>
      <c r="H10" s="437"/>
      <c r="I10" s="437"/>
      <c r="J10" s="437"/>
      <c r="K10" s="438" t="s">
        <v>118</v>
      </c>
    </row>
    <row r="11" spans="2:11" ht="38.25" customHeight="1">
      <c r="B11" s="69"/>
      <c r="C11" s="70"/>
      <c r="D11" s="71" t="s">
        <v>127</v>
      </c>
      <c r="E11" s="71" t="s">
        <v>128</v>
      </c>
      <c r="F11" s="71" t="s">
        <v>129</v>
      </c>
      <c r="G11" s="71" t="s">
        <v>427</v>
      </c>
      <c r="H11" s="71" t="s">
        <v>429</v>
      </c>
      <c r="I11" s="71" t="s">
        <v>428</v>
      </c>
      <c r="J11" s="71" t="s">
        <v>430</v>
      </c>
      <c r="K11" s="438"/>
    </row>
    <row r="12" spans="2:12" ht="18.75" customHeight="1">
      <c r="B12" s="69">
        <v>1</v>
      </c>
      <c r="C12" s="69" t="s">
        <v>130</v>
      </c>
      <c r="D12" s="71">
        <v>1620576291.12754</v>
      </c>
      <c r="E12" s="71">
        <v>1891511005.2895</v>
      </c>
      <c r="F12" s="71">
        <v>4712813323.354956</v>
      </c>
      <c r="G12" s="71">
        <v>2830952423.8182564</v>
      </c>
      <c r="H12" s="71">
        <v>282975038.3598544</v>
      </c>
      <c r="I12" s="71">
        <v>2494999086.4494886</v>
      </c>
      <c r="J12" s="71">
        <v>141792126.55527806</v>
      </c>
      <c r="K12" s="72">
        <f>SUM(D12:J12)</f>
        <v>13975619294.954872</v>
      </c>
      <c r="L12" s="67">
        <f>+K12-'balance sheet'!D13</f>
        <v>-910959296.4451294</v>
      </c>
    </row>
    <row r="13" spans="2:11" ht="18.75" customHeight="1">
      <c r="B13" s="69">
        <v>2</v>
      </c>
      <c r="C13" s="69" t="s">
        <v>131</v>
      </c>
      <c r="D13" s="71">
        <v>4084645430.79354</v>
      </c>
      <c r="E13" s="71">
        <v>14453930052.51215</v>
      </c>
      <c r="F13" s="71">
        <v>5045846819.04038</v>
      </c>
      <c r="G13" s="71">
        <v>17834736944.3999</v>
      </c>
      <c r="H13" s="71">
        <v>281649296.597778</v>
      </c>
      <c r="I13" s="71">
        <v>5661316307.22359</v>
      </c>
      <c r="J13" s="71">
        <v>6825773.4</v>
      </c>
      <c r="K13" s="72">
        <f>SUM(D13:J13)</f>
        <v>47368950623.96734</v>
      </c>
    </row>
    <row r="14" spans="2:11" ht="18.75" customHeight="1">
      <c r="B14" s="69">
        <v>3</v>
      </c>
      <c r="C14" s="70" t="s">
        <v>424</v>
      </c>
      <c r="D14" s="71">
        <v>5001135659.6</v>
      </c>
      <c r="E14" s="71">
        <v>13186258235.5</v>
      </c>
      <c r="F14" s="71">
        <v>6676958926</v>
      </c>
      <c r="G14" s="71">
        <v>18765773416.2</v>
      </c>
      <c r="H14" s="71">
        <v>401663623.1</v>
      </c>
      <c r="I14" s="71">
        <f>5789358674.6-1584493983</f>
        <v>4204864691.6000004</v>
      </c>
      <c r="J14" s="71"/>
      <c r="K14" s="72">
        <f>SUM(D14:J14)</f>
        <v>48236654552</v>
      </c>
    </row>
    <row r="15" spans="2:11" ht="15">
      <c r="B15" s="69">
        <v>4</v>
      </c>
      <c r="C15" s="69" t="s">
        <v>132</v>
      </c>
      <c r="D15" s="71">
        <f>+D12+D13-D14</f>
        <v>704086062.3210793</v>
      </c>
      <c r="E15" s="71">
        <f aca="true" t="shared" si="0" ref="E15:J15">+E12+E13-E14</f>
        <v>3159182822.301649</v>
      </c>
      <c r="F15" s="71">
        <f t="shared" si="0"/>
        <v>3081701216.395336</v>
      </c>
      <c r="G15" s="71">
        <f t="shared" si="0"/>
        <v>1899915952.0181541</v>
      </c>
      <c r="H15" s="71">
        <f t="shared" si="0"/>
        <v>162960711.8576324</v>
      </c>
      <c r="I15" s="71">
        <f t="shared" si="0"/>
        <v>3951450702.073078</v>
      </c>
      <c r="J15" s="71">
        <f t="shared" si="0"/>
        <v>148617899.95527807</v>
      </c>
      <c r="K15" s="72">
        <f>+K12+K13-K14</f>
        <v>13107915366.92221</v>
      </c>
    </row>
    <row r="16" spans="2:11" ht="15">
      <c r="B16" s="69">
        <v>5</v>
      </c>
      <c r="C16" s="69" t="s">
        <v>133</v>
      </c>
      <c r="D16" s="71"/>
      <c r="E16" s="71"/>
      <c r="F16" s="71"/>
      <c r="G16" s="71"/>
      <c r="H16" s="71"/>
      <c r="I16" s="71"/>
      <c r="J16" s="71"/>
      <c r="K16" s="72">
        <v>0</v>
      </c>
    </row>
    <row r="17" spans="2:11" ht="15">
      <c r="B17" s="69">
        <v>6</v>
      </c>
      <c r="C17" s="69" t="s">
        <v>134</v>
      </c>
      <c r="D17" s="71"/>
      <c r="E17" s="71"/>
      <c r="F17" s="71"/>
      <c r="G17" s="71"/>
      <c r="H17" s="71"/>
      <c r="I17" s="71"/>
      <c r="J17" s="71"/>
      <c r="K17" s="72">
        <v>0</v>
      </c>
    </row>
    <row r="18" spans="2:11" ht="15">
      <c r="B18" s="69">
        <v>7</v>
      </c>
      <c r="C18" s="69" t="s">
        <v>425</v>
      </c>
      <c r="D18" s="71"/>
      <c r="E18" s="71"/>
      <c r="F18" s="71"/>
      <c r="G18" s="71"/>
      <c r="H18" s="71"/>
      <c r="I18" s="71"/>
      <c r="J18" s="71"/>
      <c r="K18" s="72">
        <v>0</v>
      </c>
    </row>
    <row r="19" spans="2:11" ht="15">
      <c r="B19" s="69">
        <v>7.1</v>
      </c>
      <c r="C19" s="69" t="s">
        <v>426</v>
      </c>
      <c r="D19" s="71">
        <v>1620576291.12754</v>
      </c>
      <c r="E19" s="71">
        <v>1891511005.2895</v>
      </c>
      <c r="F19" s="71">
        <v>4712813323.354956</v>
      </c>
      <c r="G19" s="71">
        <v>2830952423.8182564</v>
      </c>
      <c r="H19" s="71">
        <v>282975038.3598544</v>
      </c>
      <c r="I19" s="71">
        <v>2494999086.4494886</v>
      </c>
      <c r="J19" s="71">
        <v>141792126.55527806</v>
      </c>
      <c r="K19" s="72">
        <v>13975619294.954872</v>
      </c>
    </row>
    <row r="20" spans="2:11" ht="15.75">
      <c r="B20" s="73">
        <v>7.2</v>
      </c>
      <c r="C20" s="74" t="s">
        <v>121</v>
      </c>
      <c r="D20" s="74">
        <f>+D12+D13-D14</f>
        <v>704086062.3210793</v>
      </c>
      <c r="E20" s="74">
        <f aca="true" t="shared" si="1" ref="E20:J20">+E12+E13-E14</f>
        <v>3159182822.301649</v>
      </c>
      <c r="F20" s="74">
        <f t="shared" si="1"/>
        <v>3081701216.395336</v>
      </c>
      <c r="G20" s="74">
        <f t="shared" si="1"/>
        <v>1899915952.0181541</v>
      </c>
      <c r="H20" s="74">
        <f t="shared" si="1"/>
        <v>162960711.8576324</v>
      </c>
      <c r="I20" s="74">
        <f t="shared" si="1"/>
        <v>3951450702.073078</v>
      </c>
      <c r="J20" s="74">
        <f t="shared" si="1"/>
        <v>148617899.95527807</v>
      </c>
      <c r="K20" s="72">
        <f>SUM(D20:J20)</f>
        <v>13107915366.922207</v>
      </c>
    </row>
    <row r="21" spans="2:11" ht="15">
      <c r="B21" s="22" t="s">
        <v>209</v>
      </c>
      <c r="K21" s="67"/>
    </row>
    <row r="22" spans="2:11" ht="15.75">
      <c r="B22" s="21" t="s">
        <v>235</v>
      </c>
      <c r="K22" s="67"/>
    </row>
    <row r="23" ht="15">
      <c r="E23" s="22" t="s">
        <v>211</v>
      </c>
    </row>
    <row r="24" spans="2:5" ht="30">
      <c r="B24" s="23" t="s">
        <v>112</v>
      </c>
      <c r="C24" s="23" t="s">
        <v>19</v>
      </c>
      <c r="D24" s="23" t="s">
        <v>121</v>
      </c>
      <c r="E24" s="23" t="s">
        <v>121</v>
      </c>
    </row>
    <row r="25" spans="2:5" ht="15">
      <c r="B25" s="19" t="s">
        <v>212</v>
      </c>
      <c r="C25" s="19" t="s">
        <v>135</v>
      </c>
      <c r="D25" s="24">
        <f>+'balance sheet'!D14</f>
        <v>310034834.74</v>
      </c>
      <c r="E25" s="24">
        <f>+'balance sheet'!E15</f>
        <v>641784300</v>
      </c>
    </row>
    <row r="26" spans="2:5" ht="30">
      <c r="B26" s="19" t="s">
        <v>213</v>
      </c>
      <c r="C26" s="19" t="s">
        <v>136</v>
      </c>
      <c r="D26" s="24">
        <v>0</v>
      </c>
      <c r="E26" s="24">
        <v>0</v>
      </c>
    </row>
    <row r="27" spans="2:5" ht="30">
      <c r="B27" s="19" t="s">
        <v>236</v>
      </c>
      <c r="C27" s="19" t="s">
        <v>137</v>
      </c>
      <c r="D27" s="24">
        <v>0</v>
      </c>
      <c r="E27" s="24">
        <v>0</v>
      </c>
    </row>
    <row r="28" spans="2:5" ht="15">
      <c r="B28" s="19" t="s">
        <v>215</v>
      </c>
      <c r="C28" s="19"/>
      <c r="D28" s="24">
        <v>0</v>
      </c>
      <c r="E28" s="24">
        <v>0</v>
      </c>
    </row>
    <row r="29" spans="2:5" ht="15">
      <c r="B29" s="19" t="s">
        <v>209</v>
      </c>
      <c r="C29" s="25" t="s">
        <v>118</v>
      </c>
      <c r="D29" s="24">
        <f>SUM(D25:D28)</f>
        <v>310034834.74</v>
      </c>
      <c r="E29" s="24">
        <f>SUM(E25:E28)</f>
        <v>641784300</v>
      </c>
    </row>
    <row r="30" spans="1:120" ht="15"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  <c r="DD30" s="426"/>
      <c r="DE30" s="426"/>
      <c r="DF30" s="426"/>
      <c r="DG30" s="426"/>
      <c r="DH30" s="426"/>
      <c r="DI30" s="426"/>
      <c r="DJ30" s="426"/>
      <c r="DK30" s="426"/>
      <c r="DL30" s="426"/>
      <c r="DM30" s="426"/>
      <c r="DN30" s="426"/>
      <c r="DO30" s="426"/>
      <c r="DP30" s="426"/>
    </row>
    <row r="32" spans="1:256" ht="15">
      <c r="A32" s="18"/>
      <c r="B32" s="18"/>
      <c r="C32" s="18" t="s">
        <v>418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ht="15">
      <c r="A34" s="18"/>
      <c r="B34" s="18"/>
      <c r="C34" s="18" t="s">
        <v>419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</sheetData>
  <sheetProtection/>
  <mergeCells count="4">
    <mergeCell ref="BP7:DP7"/>
    <mergeCell ref="BP30:DP30"/>
    <mergeCell ref="D10:J10"/>
    <mergeCell ref="K10:K11"/>
  </mergeCells>
  <printOptions/>
  <pageMargins left="0" right="0" top="0.37" bottom="0" header="0.31496062992126" footer="0.15748031496063"/>
  <pageSetup horizontalDpi="600" verticalDpi="600" orientation="landscape" paperSize="9" scale="8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P38"/>
  <sheetViews>
    <sheetView zoomScalePageLayoutView="0" workbookViewId="0" topLeftCell="A19">
      <selection activeCell="E11" sqref="E11"/>
    </sheetView>
  </sheetViews>
  <sheetFormatPr defaultColWidth="8.8515625" defaultRowHeight="15"/>
  <cols>
    <col min="1" max="1" width="2.140625" style="0" customWidth="1"/>
    <col min="2" max="2" width="6.421875" style="0" customWidth="1"/>
    <col min="3" max="3" width="42.421875" style="0" customWidth="1"/>
    <col min="4" max="4" width="14.7109375" style="0" customWidth="1"/>
    <col min="5" max="5" width="19.28125" style="0" customWidth="1"/>
    <col min="6" max="6" width="16.421875" style="0" customWidth="1"/>
    <col min="7" max="7" width="19.28125" style="0" customWidth="1"/>
    <col min="8" max="8" width="16.28125" style="0" customWidth="1"/>
    <col min="9" max="9" width="14.421875" style="0" customWidth="1"/>
    <col min="10" max="21" width="17.421875" style="0" customWidth="1"/>
  </cols>
  <sheetData>
    <row r="1" ht="15.75">
      <c r="B1" s="92" t="s">
        <v>445</v>
      </c>
    </row>
    <row r="2" ht="15.75">
      <c r="B2" s="21" t="s">
        <v>237</v>
      </c>
    </row>
    <row r="3" ht="15">
      <c r="K3" s="22" t="s">
        <v>211</v>
      </c>
    </row>
    <row r="4" spans="2:11" ht="45">
      <c r="B4" s="23" t="s">
        <v>112</v>
      </c>
      <c r="C4" s="23" t="s">
        <v>19</v>
      </c>
      <c r="D4" s="23" t="s">
        <v>138</v>
      </c>
      <c r="E4" s="23" t="s">
        <v>431</v>
      </c>
      <c r="F4" s="23" t="s">
        <v>432</v>
      </c>
      <c r="G4" s="23" t="s">
        <v>139</v>
      </c>
      <c r="H4" s="23" t="s">
        <v>140</v>
      </c>
      <c r="I4" s="23" t="s">
        <v>141</v>
      </c>
      <c r="J4" s="23" t="s">
        <v>142</v>
      </c>
      <c r="K4" s="23" t="s">
        <v>118</v>
      </c>
    </row>
    <row r="5" spans="2:11" ht="18" customHeight="1">
      <c r="B5" s="19"/>
      <c r="C5" s="25"/>
      <c r="D5" s="24"/>
      <c r="E5" s="24"/>
      <c r="F5" s="24"/>
      <c r="G5" s="24"/>
      <c r="H5" s="24"/>
      <c r="I5" s="24"/>
      <c r="J5" s="24" t="s">
        <v>433</v>
      </c>
      <c r="K5" s="24"/>
    </row>
    <row r="6" spans="2:11" ht="18" customHeight="1">
      <c r="B6" s="19">
        <v>1</v>
      </c>
      <c r="C6" s="25" t="s">
        <v>143</v>
      </c>
      <c r="D6" s="24"/>
      <c r="E6" s="27"/>
      <c r="F6" s="27"/>
      <c r="G6" s="27"/>
      <c r="H6" s="27"/>
      <c r="I6" s="27"/>
      <c r="J6" s="27"/>
      <c r="K6" s="27"/>
    </row>
    <row r="7" spans="2:11" ht="18" customHeight="1" thickBot="1">
      <c r="B7" s="30">
        <v>1.1</v>
      </c>
      <c r="C7" s="30" t="s">
        <v>114</v>
      </c>
      <c r="D7" s="76">
        <v>0</v>
      </c>
      <c r="E7" s="77">
        <f>+'[13]u.hor'!AQ6-59807988.43-24276769.36</f>
        <v>24904224681.03</v>
      </c>
      <c r="F7" s="78">
        <f>+'[13]u.hor'!AQ8</f>
        <v>8264308269</v>
      </c>
      <c r="G7" s="79">
        <f>+'[13]u.hor'!AQ10</f>
        <v>173303834</v>
      </c>
      <c r="H7" s="79">
        <f>+'[13]u.hor'!AQ12</f>
        <v>304374572.09000003</v>
      </c>
      <c r="I7" s="79">
        <f>+'[13]u.hor'!AQ14</f>
        <v>25957651.299999997</v>
      </c>
      <c r="J7" s="79"/>
      <c r="K7" s="80">
        <f aca="true" t="shared" si="0" ref="K7:K19">SUM(D7:J7)</f>
        <v>33672169007.42</v>
      </c>
    </row>
    <row r="8" spans="2:11" ht="18" customHeight="1" thickBot="1">
      <c r="B8" s="19">
        <v>1.2</v>
      </c>
      <c r="C8" s="19" t="s">
        <v>131</v>
      </c>
      <c r="D8" s="76"/>
      <c r="E8" s="77">
        <f aca="true" t="shared" si="1" ref="E8:J8">SUM(E9:E12)</f>
        <v>1052518497.75</v>
      </c>
      <c r="F8" s="77">
        <f t="shared" si="1"/>
        <v>115394542.77</v>
      </c>
      <c r="G8" s="77">
        <f t="shared" si="1"/>
        <v>0</v>
      </c>
      <c r="H8" s="77">
        <f t="shared" si="1"/>
        <v>8079936.240000024</v>
      </c>
      <c r="I8" s="77">
        <f t="shared" si="1"/>
        <v>63328182.36</v>
      </c>
      <c r="J8" s="77">
        <f t="shared" si="1"/>
        <v>0</v>
      </c>
      <c r="K8" s="80">
        <f t="shared" si="0"/>
        <v>1239321159.12</v>
      </c>
    </row>
    <row r="9" spans="2:11" ht="18" customHeight="1" thickBot="1">
      <c r="B9" s="19"/>
      <c r="C9" s="19" t="s">
        <v>144</v>
      </c>
      <c r="D9" s="76"/>
      <c r="E9" s="77"/>
      <c r="F9" s="78"/>
      <c r="G9" s="78"/>
      <c r="H9" s="78"/>
      <c r="I9" s="78"/>
      <c r="J9" s="78"/>
      <c r="K9" s="80">
        <f t="shared" si="0"/>
        <v>0</v>
      </c>
    </row>
    <row r="10" spans="2:11" ht="18" customHeight="1" thickBot="1">
      <c r="B10" s="19"/>
      <c r="C10" s="19" t="s">
        <v>145</v>
      </c>
      <c r="D10" s="76"/>
      <c r="E10" s="77"/>
      <c r="F10" s="81"/>
      <c r="G10" s="78"/>
      <c r="H10" s="82"/>
      <c r="I10" s="82"/>
      <c r="J10" s="78"/>
      <c r="K10" s="80">
        <f t="shared" si="0"/>
        <v>0</v>
      </c>
    </row>
    <row r="11" spans="2:11" ht="18" customHeight="1" thickBot="1">
      <c r="B11" s="19"/>
      <c r="C11" s="19" t="s">
        <v>434</v>
      </c>
      <c r="D11" s="76"/>
      <c r="E11" s="77">
        <v>1052518497.75</v>
      </c>
      <c r="F11" s="78">
        <v>115394542.77</v>
      </c>
      <c r="G11" s="78"/>
      <c r="H11" s="78">
        <f>+'[13]u.hor'!AU12</f>
        <v>8079936.240000024</v>
      </c>
      <c r="I11" s="78">
        <f>+'[13]u.hor'!AU14</f>
        <v>63328182.36</v>
      </c>
      <c r="J11" s="78"/>
      <c r="K11" s="80">
        <f t="shared" si="0"/>
        <v>1239321159.12</v>
      </c>
    </row>
    <row r="12" spans="2:11" ht="18" customHeight="1" thickBot="1">
      <c r="B12" s="30"/>
      <c r="C12" s="30" t="s">
        <v>147</v>
      </c>
      <c r="D12" s="76"/>
      <c r="E12" s="77"/>
      <c r="F12" s="78"/>
      <c r="G12" s="78"/>
      <c r="H12" s="78"/>
      <c r="I12" s="78"/>
      <c r="J12" s="78"/>
      <c r="K12" s="80">
        <f t="shared" si="0"/>
        <v>0</v>
      </c>
    </row>
    <row r="13" spans="2:11" ht="18" customHeight="1" thickBot="1">
      <c r="B13" s="19">
        <v>1.3</v>
      </c>
      <c r="C13" s="19" t="s">
        <v>424</v>
      </c>
      <c r="D13" s="77">
        <f aca="true" t="shared" si="2" ref="D13:J13">SUM(D14:D18)</f>
        <v>0</v>
      </c>
      <c r="E13" s="77">
        <f t="shared" si="2"/>
        <v>0</v>
      </c>
      <c r="F13" s="77">
        <f t="shared" si="2"/>
        <v>0</v>
      </c>
      <c r="G13" s="77">
        <f t="shared" si="2"/>
        <v>52977421.76</v>
      </c>
      <c r="H13" s="77">
        <f t="shared" si="2"/>
        <v>50324258.19</v>
      </c>
      <c r="I13" s="77">
        <f t="shared" si="2"/>
        <v>10904434.44</v>
      </c>
      <c r="J13" s="77">
        <f t="shared" si="2"/>
        <v>0</v>
      </c>
      <c r="K13" s="80">
        <f t="shared" si="0"/>
        <v>114206114.38999999</v>
      </c>
    </row>
    <row r="14" spans="2:11" ht="18" customHeight="1" thickBot="1">
      <c r="B14" s="19"/>
      <c r="C14" s="19" t="s">
        <v>148</v>
      </c>
      <c r="D14" s="76"/>
      <c r="E14" s="77"/>
      <c r="F14" s="78"/>
      <c r="G14" s="78"/>
      <c r="H14" s="78"/>
      <c r="I14" s="78"/>
      <c r="J14" s="78"/>
      <c r="K14" s="80">
        <f t="shared" si="0"/>
        <v>0</v>
      </c>
    </row>
    <row r="15" spans="2:11" ht="18" customHeight="1" thickBot="1">
      <c r="B15" s="19"/>
      <c r="C15" s="19" t="s">
        <v>435</v>
      </c>
      <c r="D15" s="76"/>
      <c r="E15" s="77"/>
      <c r="F15" s="78"/>
      <c r="G15" s="78"/>
      <c r="H15" s="78"/>
      <c r="I15" s="78"/>
      <c r="J15" s="78"/>
      <c r="K15" s="80">
        <f t="shared" si="0"/>
        <v>0</v>
      </c>
    </row>
    <row r="16" spans="2:11" ht="18" customHeight="1" thickBot="1">
      <c r="B16" s="19"/>
      <c r="C16" s="19" t="s">
        <v>149</v>
      </c>
      <c r="D16" s="76"/>
      <c r="E16" s="77"/>
      <c r="F16" s="78"/>
      <c r="G16" s="78"/>
      <c r="H16" s="78"/>
      <c r="I16" s="78"/>
      <c r="J16" s="78"/>
      <c r="K16" s="80">
        <f t="shared" si="0"/>
        <v>0</v>
      </c>
    </row>
    <row r="17" spans="2:11" ht="18" customHeight="1" thickBot="1">
      <c r="B17" s="19"/>
      <c r="C17" s="19" t="s">
        <v>434</v>
      </c>
      <c r="D17" s="76"/>
      <c r="E17" s="77"/>
      <c r="F17" s="78"/>
      <c r="G17" s="82">
        <v>52977421.76</v>
      </c>
      <c r="H17" s="78">
        <v>50324258.19</v>
      </c>
      <c r="I17" s="78">
        <v>10904434.44</v>
      </c>
      <c r="J17" s="78"/>
      <c r="K17" s="80">
        <f t="shared" si="0"/>
        <v>114206114.38999999</v>
      </c>
    </row>
    <row r="18" spans="2:11" ht="18" customHeight="1" thickBot="1">
      <c r="B18" s="19">
        <v>1.4</v>
      </c>
      <c r="C18" s="29" t="s">
        <v>150</v>
      </c>
      <c r="D18" s="76"/>
      <c r="E18" s="77"/>
      <c r="F18" s="78"/>
      <c r="G18" s="78"/>
      <c r="H18" s="82"/>
      <c r="I18" s="78"/>
      <c r="J18" s="78"/>
      <c r="K18" s="80">
        <f t="shared" si="0"/>
        <v>0</v>
      </c>
    </row>
    <row r="19" spans="2:11" ht="18" customHeight="1" thickBot="1">
      <c r="B19" s="19">
        <v>1.5</v>
      </c>
      <c r="C19" s="31" t="s">
        <v>437</v>
      </c>
      <c r="D19" s="76"/>
      <c r="E19" s="77"/>
      <c r="F19" s="78"/>
      <c r="G19" s="78"/>
      <c r="H19" s="82"/>
      <c r="I19" s="78"/>
      <c r="J19" s="78"/>
      <c r="K19" s="80">
        <f t="shared" si="0"/>
        <v>0</v>
      </c>
    </row>
    <row r="20" spans="2:11" ht="18" customHeight="1" thickBot="1">
      <c r="B20" s="19">
        <v>1.6</v>
      </c>
      <c r="C20" s="25" t="s">
        <v>121</v>
      </c>
      <c r="D20" s="77">
        <f>+D7+D8-D13</f>
        <v>0</v>
      </c>
      <c r="E20" s="77">
        <f>+E7+E8-E13</f>
        <v>25956743178.78</v>
      </c>
      <c r="F20" s="78">
        <f>+F7+F8-F13</f>
        <v>8379702811.77</v>
      </c>
      <c r="G20" s="78">
        <f>+G7+G8-G13</f>
        <v>120326412.24000001</v>
      </c>
      <c r="H20" s="78">
        <f>+H7+H8-H13-H19</f>
        <v>262130250.14000005</v>
      </c>
      <c r="I20" s="78">
        <f>+I7+I8-I13-I19</f>
        <v>78381399.22</v>
      </c>
      <c r="J20" s="78">
        <f>+J7+J8-J13</f>
        <v>0</v>
      </c>
      <c r="K20" s="80">
        <f>SUM(D20:J20)</f>
        <v>34797284052.15</v>
      </c>
    </row>
    <row r="21" spans="2:11" ht="18" customHeight="1" thickBot="1">
      <c r="B21" s="19">
        <v>2</v>
      </c>
      <c r="C21" s="19" t="s">
        <v>151</v>
      </c>
      <c r="D21" s="83"/>
      <c r="E21" s="84"/>
      <c r="F21" s="85"/>
      <c r="G21" s="85"/>
      <c r="H21" s="86"/>
      <c r="I21" s="86"/>
      <c r="J21" s="86"/>
      <c r="K21" s="87"/>
    </row>
    <row r="22" spans="2:11" ht="18" customHeight="1" thickBot="1">
      <c r="B22" s="32">
        <v>2.1</v>
      </c>
      <c r="C22" s="32" t="s">
        <v>426</v>
      </c>
      <c r="D22" s="76"/>
      <c r="E22" s="77">
        <v>2443056717.77</v>
      </c>
      <c r="F22" s="78">
        <v>2881914197.81</v>
      </c>
      <c r="G22" s="78">
        <v>56804064.34</v>
      </c>
      <c r="H22" s="79">
        <v>123214052.38</v>
      </c>
      <c r="I22" s="79">
        <v>15053216.86</v>
      </c>
      <c r="J22" s="79">
        <v>0</v>
      </c>
      <c r="K22" s="80">
        <f>SUM(D22:J22)</f>
        <v>5520042249.16</v>
      </c>
    </row>
    <row r="23" spans="2:11" ht="18" customHeight="1" thickBot="1">
      <c r="B23" s="19">
        <v>2.2</v>
      </c>
      <c r="C23" s="19" t="s">
        <v>131</v>
      </c>
      <c r="D23" s="76">
        <f>SUM(D24:D26)</f>
        <v>0</v>
      </c>
      <c r="E23" s="88">
        <f>SUM(E24)</f>
        <v>241541427.74552917</v>
      </c>
      <c r="F23" s="88">
        <f>SUM(F24)</f>
        <v>631502732.17</v>
      </c>
      <c r="G23" s="88">
        <f>SUM(G24)</f>
        <v>7785695.539999999</v>
      </c>
      <c r="H23" s="88">
        <f>SUM(H24)</f>
        <v>4900585.438749999</v>
      </c>
      <c r="I23" s="88">
        <f>SUM(I24)</f>
        <v>35328234.098749995</v>
      </c>
      <c r="J23" s="76">
        <v>0</v>
      </c>
      <c r="K23" s="80">
        <f aca="true" t="shared" si="3" ref="K23:K32">SUM(D23:J23)</f>
        <v>921058674.9930291</v>
      </c>
    </row>
    <row r="24" spans="2:11" ht="18" customHeight="1" thickBot="1">
      <c r="B24" s="19"/>
      <c r="C24" s="19" t="s">
        <v>438</v>
      </c>
      <c r="D24" s="76"/>
      <c r="E24" s="89">
        <v>241541427.74552917</v>
      </c>
      <c r="F24" s="90">
        <v>631502732.17</v>
      </c>
      <c r="G24" s="76">
        <v>7785695.539999999</v>
      </c>
      <c r="H24" s="88">
        <v>4900585.438749999</v>
      </c>
      <c r="I24" s="90">
        <v>35328234.098749995</v>
      </c>
      <c r="J24" s="76"/>
      <c r="K24" s="80">
        <f t="shared" si="3"/>
        <v>921058674.9930291</v>
      </c>
    </row>
    <row r="25" spans="2:11" ht="18" customHeight="1" thickBot="1">
      <c r="B25" s="19"/>
      <c r="C25" s="19" t="s">
        <v>439</v>
      </c>
      <c r="D25" s="76"/>
      <c r="E25" s="88"/>
      <c r="F25" s="76"/>
      <c r="G25" s="76"/>
      <c r="H25" s="76"/>
      <c r="I25" s="76"/>
      <c r="J25" s="76"/>
      <c r="K25" s="80">
        <f t="shared" si="3"/>
        <v>0</v>
      </c>
    </row>
    <row r="26" spans="2:11" ht="18" customHeight="1" thickBot="1">
      <c r="B26" s="32"/>
      <c r="C26" s="32" t="s">
        <v>437</v>
      </c>
      <c r="D26" s="76"/>
      <c r="E26" s="88"/>
      <c r="F26" s="76"/>
      <c r="G26" s="76"/>
      <c r="H26" s="76"/>
      <c r="I26" s="76"/>
      <c r="J26" s="76"/>
      <c r="K26" s="80">
        <f t="shared" si="3"/>
        <v>0</v>
      </c>
    </row>
    <row r="27" spans="2:11" ht="18" customHeight="1" thickBot="1">
      <c r="B27" s="19">
        <v>2.3</v>
      </c>
      <c r="C27" s="19" t="s">
        <v>152</v>
      </c>
      <c r="D27" s="76">
        <f>SUM(D28:D30)</f>
        <v>0</v>
      </c>
      <c r="E27" s="88">
        <f>SUM(E28)</f>
        <v>0</v>
      </c>
      <c r="F27" s="88">
        <f>SUM(F28)</f>
        <v>0</v>
      </c>
      <c r="G27" s="88">
        <f>SUM(G28)</f>
        <v>0</v>
      </c>
      <c r="H27" s="88">
        <f>SUM(H28)</f>
        <v>0</v>
      </c>
      <c r="I27" s="88">
        <f>SUM(I28)</f>
        <v>0</v>
      </c>
      <c r="J27" s="76">
        <f>SUM(J28:J30)</f>
        <v>0</v>
      </c>
      <c r="K27" s="80">
        <f t="shared" si="3"/>
        <v>0</v>
      </c>
    </row>
    <row r="28" spans="2:11" ht="18" customHeight="1" thickBot="1">
      <c r="B28" s="19"/>
      <c r="C28" s="19" t="s">
        <v>440</v>
      </c>
      <c r="D28" s="76"/>
      <c r="E28" s="88"/>
      <c r="F28" s="76"/>
      <c r="G28" s="76"/>
      <c r="H28" s="88"/>
      <c r="I28" s="76"/>
      <c r="J28" s="76"/>
      <c r="K28" s="80">
        <f t="shared" si="3"/>
        <v>0</v>
      </c>
    </row>
    <row r="29" spans="2:11" ht="18" customHeight="1" thickBot="1">
      <c r="B29" s="19"/>
      <c r="C29" s="19" t="s">
        <v>441</v>
      </c>
      <c r="D29" s="76"/>
      <c r="E29" s="88"/>
      <c r="F29" s="76"/>
      <c r="G29" s="76"/>
      <c r="H29" s="76"/>
      <c r="I29" s="76"/>
      <c r="J29" s="76"/>
      <c r="K29" s="80">
        <f t="shared" si="3"/>
        <v>0</v>
      </c>
    </row>
    <row r="30" spans="2:11" ht="18" customHeight="1" thickBot="1">
      <c r="B30" s="33"/>
      <c r="C30" s="33" t="s">
        <v>436</v>
      </c>
      <c r="D30" s="76"/>
      <c r="E30" s="88"/>
      <c r="F30" s="76"/>
      <c r="G30" s="76"/>
      <c r="H30" s="76"/>
      <c r="I30" s="76"/>
      <c r="J30" s="76"/>
      <c r="K30" s="80">
        <f t="shared" si="3"/>
        <v>0</v>
      </c>
    </row>
    <row r="31" spans="2:11" ht="18" customHeight="1" thickBot="1">
      <c r="B31" s="19">
        <v>2.4</v>
      </c>
      <c r="C31" s="25" t="s">
        <v>121</v>
      </c>
      <c r="D31" s="76">
        <f aca="true" t="shared" si="4" ref="D31:J31">+D22+D23-D27</f>
        <v>0</v>
      </c>
      <c r="E31" s="88">
        <f t="shared" si="4"/>
        <v>2684598145.515529</v>
      </c>
      <c r="F31" s="88">
        <f t="shared" si="4"/>
        <v>3513416929.98</v>
      </c>
      <c r="G31" s="88">
        <f t="shared" si="4"/>
        <v>64589759.88</v>
      </c>
      <c r="H31" s="88">
        <f t="shared" si="4"/>
        <v>128114637.81875</v>
      </c>
      <c r="I31" s="88">
        <f t="shared" si="4"/>
        <v>50381450.958749995</v>
      </c>
      <c r="J31" s="88">
        <f t="shared" si="4"/>
        <v>0</v>
      </c>
      <c r="K31" s="80">
        <f>SUM(D31:J31)</f>
        <v>6441100924.153029</v>
      </c>
    </row>
    <row r="32" spans="2:11" ht="18" customHeight="1" thickBot="1">
      <c r="B32" s="19">
        <v>3</v>
      </c>
      <c r="C32" s="19" t="s">
        <v>442</v>
      </c>
      <c r="D32" s="76"/>
      <c r="E32" s="77"/>
      <c r="F32" s="78"/>
      <c r="G32" s="78"/>
      <c r="H32" s="79"/>
      <c r="I32" s="79"/>
      <c r="J32" s="79"/>
      <c r="K32" s="80">
        <f t="shared" si="3"/>
        <v>0</v>
      </c>
    </row>
    <row r="33" spans="2:11" ht="18" customHeight="1" thickBot="1">
      <c r="B33" s="19">
        <v>3.1</v>
      </c>
      <c r="C33" s="19" t="s">
        <v>443</v>
      </c>
      <c r="D33" s="76">
        <f aca="true" t="shared" si="5" ref="D33:J33">+D7-D22</f>
        <v>0</v>
      </c>
      <c r="E33" s="88">
        <f t="shared" si="5"/>
        <v>22461167963.26</v>
      </c>
      <c r="F33" s="76">
        <f t="shared" si="5"/>
        <v>5382394071.190001</v>
      </c>
      <c r="G33" s="76">
        <f t="shared" si="5"/>
        <v>116499769.66</v>
      </c>
      <c r="H33" s="76">
        <f t="shared" si="5"/>
        <v>181160519.71000004</v>
      </c>
      <c r="I33" s="76">
        <f t="shared" si="5"/>
        <v>10904434.439999998</v>
      </c>
      <c r="J33" s="76">
        <f t="shared" si="5"/>
        <v>0</v>
      </c>
      <c r="K33" s="80">
        <f>SUM(D33:J33)</f>
        <v>28152126758.259995</v>
      </c>
    </row>
    <row r="34" spans="2:11" ht="16.5" thickBot="1">
      <c r="B34" s="21">
        <v>3.2</v>
      </c>
      <c r="C34" t="s">
        <v>444</v>
      </c>
      <c r="D34" s="79">
        <f aca="true" t="shared" si="6" ref="D34:I34">+D20-D31</f>
        <v>0</v>
      </c>
      <c r="E34" s="91">
        <f t="shared" si="6"/>
        <v>23272145033.26447</v>
      </c>
      <c r="F34" s="79">
        <f t="shared" si="6"/>
        <v>4866285881.790001</v>
      </c>
      <c r="G34" s="79">
        <f t="shared" si="6"/>
        <v>55736652.36000001</v>
      </c>
      <c r="H34" s="79">
        <f t="shared" si="6"/>
        <v>134015612.32125005</v>
      </c>
      <c r="I34" s="79">
        <f t="shared" si="6"/>
        <v>27999948.261250004</v>
      </c>
      <c r="J34" s="79">
        <f>+J20-J31</f>
        <v>0</v>
      </c>
      <c r="K34" s="80">
        <f>SUM(D34:J34)</f>
        <v>28356183127.99697</v>
      </c>
    </row>
    <row r="35" spans="2:11" ht="15">
      <c r="B35" s="22" t="s">
        <v>209</v>
      </c>
      <c r="E35" s="18" t="s">
        <v>418</v>
      </c>
      <c r="K35" s="67">
        <f>+K34-'balance sheet'!E20</f>
        <v>-6429139805.445923</v>
      </c>
    </row>
    <row r="36" spans="1:120" ht="15">
      <c r="E36" s="18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</row>
    <row r="37" ht="15">
      <c r="E37" s="18" t="s">
        <v>419</v>
      </c>
    </row>
    <row r="38" ht="15">
      <c r="E38" s="22"/>
    </row>
  </sheetData>
  <sheetProtection/>
  <mergeCells count="1">
    <mergeCell ref="BP36:DP36"/>
  </mergeCells>
  <printOptions/>
  <pageMargins left="0.354330708661417" right="0.236220472440945" top="0.236220472440945" bottom="0" header="0.31496062992126" footer="0.15748031496063"/>
  <pageSetup horizontalDpi="600" verticalDpi="600" orientation="landscape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P52"/>
  <sheetViews>
    <sheetView zoomScalePageLayoutView="0" workbookViewId="0" topLeftCell="A1">
      <selection activeCell="F23" sqref="F22:F23"/>
    </sheetView>
  </sheetViews>
  <sheetFormatPr defaultColWidth="8.8515625" defaultRowHeight="15"/>
  <cols>
    <col min="1" max="1" width="7.421875" style="0" customWidth="1"/>
    <col min="2" max="2" width="6.421875" style="0" customWidth="1"/>
    <col min="3" max="3" width="33.28125" style="0" customWidth="1"/>
    <col min="4" max="4" width="12.421875" style="0" customWidth="1"/>
    <col min="5" max="5" width="15.28125" style="0" customWidth="1"/>
    <col min="6" max="6" width="14.421875" style="0" bestFit="1" customWidth="1"/>
    <col min="7" max="7" width="10.421875" style="0" customWidth="1"/>
    <col min="8" max="8" width="12.421875" style="0" customWidth="1"/>
    <col min="9" max="9" width="11.00390625" style="0" customWidth="1"/>
    <col min="10" max="10" width="13.8515625" style="0" customWidth="1"/>
    <col min="11" max="11" width="14.7109375" style="0" customWidth="1"/>
    <col min="12" max="21" width="17.421875" style="0" customWidth="1"/>
  </cols>
  <sheetData>
    <row r="1" ht="15.75">
      <c r="B1" s="21" t="s">
        <v>483</v>
      </c>
    </row>
    <row r="2" ht="15.75">
      <c r="B2" s="21" t="s">
        <v>266</v>
      </c>
    </row>
    <row r="3" spans="6:7" ht="12.75" customHeight="1">
      <c r="F3" s="436" t="s">
        <v>211</v>
      </c>
      <c r="G3" s="436"/>
    </row>
    <row r="4" spans="2:7" ht="34.5" customHeight="1">
      <c r="B4" s="35" t="s">
        <v>112</v>
      </c>
      <c r="C4" s="36" t="s">
        <v>19</v>
      </c>
      <c r="D4" s="36" t="s">
        <v>163</v>
      </c>
      <c r="E4" s="36" t="s">
        <v>267</v>
      </c>
      <c r="F4" s="36" t="s">
        <v>268</v>
      </c>
      <c r="G4" s="36" t="s">
        <v>269</v>
      </c>
    </row>
    <row r="5" spans="2:7" ht="13.5" customHeight="1">
      <c r="B5" s="19" t="s">
        <v>212</v>
      </c>
      <c r="C5" s="75" t="s">
        <v>447</v>
      </c>
      <c r="D5" s="93">
        <v>2011.5</v>
      </c>
      <c r="E5" s="24">
        <v>70</v>
      </c>
      <c r="F5" s="24">
        <v>2582167725.2</v>
      </c>
      <c r="G5" s="24">
        <v>2019</v>
      </c>
    </row>
    <row r="6" spans="2:7" s="26" customFormat="1" ht="13.5" customHeight="1">
      <c r="B6" s="19">
        <v>2</v>
      </c>
      <c r="C6" s="75" t="s">
        <v>448</v>
      </c>
      <c r="D6" s="93">
        <v>2016.5</v>
      </c>
      <c r="E6" s="24">
        <v>90</v>
      </c>
      <c r="F6" s="24">
        <f>3493401164.44+147299018.4</f>
        <v>3640700182.84</v>
      </c>
      <c r="G6" s="24">
        <v>2019</v>
      </c>
    </row>
    <row r="7" spans="2:7" ht="13.5" customHeight="1">
      <c r="B7" s="19"/>
      <c r="C7" s="25" t="s">
        <v>118</v>
      </c>
      <c r="D7" s="24" t="s">
        <v>209</v>
      </c>
      <c r="E7" s="24" t="s">
        <v>270</v>
      </c>
      <c r="F7" s="24">
        <f>SUM(F5:F6)</f>
        <v>6222867908.04</v>
      </c>
      <c r="G7" s="24" t="s">
        <v>209</v>
      </c>
    </row>
    <row r="8" spans="2:6" ht="15.75">
      <c r="B8" s="21" t="s">
        <v>216</v>
      </c>
      <c r="F8" s="129">
        <f>+F7-6222867908</f>
        <v>0.039999961853027344</v>
      </c>
    </row>
    <row r="9" ht="15">
      <c r="B9" s="22" t="s">
        <v>209</v>
      </c>
    </row>
    <row r="10" ht="12" customHeight="1">
      <c r="B10" s="21"/>
    </row>
    <row r="11" ht="12" customHeight="1">
      <c r="B11" s="21" t="s">
        <v>271</v>
      </c>
    </row>
    <row r="12" ht="12" customHeight="1">
      <c r="K12" s="22" t="s">
        <v>211</v>
      </c>
    </row>
    <row r="13" spans="2:11" ht="12" customHeight="1">
      <c r="B13" s="23" t="s">
        <v>112</v>
      </c>
      <c r="C13" s="23" t="s">
        <v>19</v>
      </c>
      <c r="D13" s="23" t="s">
        <v>153</v>
      </c>
      <c r="E13" s="23" t="s">
        <v>154</v>
      </c>
      <c r="F13" s="23" t="s">
        <v>155</v>
      </c>
      <c r="G13" s="23" t="s">
        <v>156</v>
      </c>
      <c r="H13" s="23" t="s">
        <v>157</v>
      </c>
      <c r="I13" s="23" t="s">
        <v>272</v>
      </c>
      <c r="J13" s="23" t="s">
        <v>158</v>
      </c>
      <c r="K13" s="23" t="s">
        <v>118</v>
      </c>
    </row>
    <row r="14" spans="2:11" ht="12" customHeight="1">
      <c r="B14" s="19" t="s">
        <v>212</v>
      </c>
      <c r="C14" s="25" t="s">
        <v>159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2:11" ht="12" customHeight="1">
      <c r="B15" s="19" t="s">
        <v>239</v>
      </c>
      <c r="C15" s="19" t="s">
        <v>114</v>
      </c>
      <c r="D15" s="24">
        <v>0</v>
      </c>
      <c r="E15" s="24">
        <v>25602936.6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2:11" ht="12" customHeight="1">
      <c r="B16" s="19" t="s">
        <v>240</v>
      </c>
      <c r="C16" s="19" t="s">
        <v>131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2:11" ht="12" customHeight="1">
      <c r="B17" s="19" t="s">
        <v>241</v>
      </c>
      <c r="C17" s="19" t="s">
        <v>144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2:11" ht="12" customHeight="1">
      <c r="B18" s="19" t="s">
        <v>242</v>
      </c>
      <c r="C18" s="19" t="s">
        <v>145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2:11" ht="12" customHeight="1">
      <c r="B19" s="19" t="s">
        <v>243</v>
      </c>
      <c r="C19" s="19" t="s">
        <v>146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</row>
    <row r="20" spans="2:11" ht="12" customHeight="1">
      <c r="B20" s="19" t="s">
        <v>244</v>
      </c>
      <c r="C20" s="19" t="s">
        <v>147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2:11" ht="12" customHeight="1">
      <c r="B21" s="19" t="s">
        <v>245</v>
      </c>
      <c r="C21" s="19" t="s">
        <v>152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2:11" ht="12" customHeight="1">
      <c r="B22" s="19" t="s">
        <v>246</v>
      </c>
      <c r="C22" s="19" t="s">
        <v>148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2:11" ht="12" customHeight="1">
      <c r="B23" s="19" t="s">
        <v>247</v>
      </c>
      <c r="C23" s="19" t="s">
        <v>273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2:11" ht="12" customHeight="1">
      <c r="B24" s="19" t="s">
        <v>248</v>
      </c>
      <c r="C24" s="19" t="s">
        <v>149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2:11" ht="12" customHeight="1">
      <c r="B25" s="19" t="s">
        <v>249</v>
      </c>
      <c r="C25" s="19" t="s">
        <v>121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</row>
    <row r="26" spans="2:11" ht="12" customHeight="1">
      <c r="B26" s="19" t="s">
        <v>213</v>
      </c>
      <c r="C26" s="25" t="s">
        <v>160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2:11" ht="12" customHeight="1">
      <c r="B27" s="19" t="s">
        <v>252</v>
      </c>
      <c r="C27" s="19" t="s">
        <v>114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2:11" ht="12" customHeight="1">
      <c r="B28" s="19" t="s">
        <v>253</v>
      </c>
      <c r="C28" s="19" t="s">
        <v>131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2:11" ht="12" customHeight="1">
      <c r="B29" s="19" t="s">
        <v>254</v>
      </c>
      <c r="C29" s="19" t="s">
        <v>274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2:11" ht="12" customHeight="1">
      <c r="B30" s="19" t="s">
        <v>255</v>
      </c>
      <c r="C30" s="19" t="s">
        <v>256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2:11" ht="12" customHeight="1">
      <c r="B31" s="19" t="s">
        <v>257</v>
      </c>
      <c r="C31" s="19" t="s">
        <v>275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</row>
    <row r="32" spans="2:11" ht="12" customHeight="1">
      <c r="B32" s="19" t="s">
        <v>258</v>
      </c>
      <c r="C32" s="19" t="s">
        <v>220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2:11" ht="12" customHeight="1">
      <c r="B33" s="19" t="s">
        <v>259</v>
      </c>
      <c r="C33" s="19" t="s">
        <v>276</v>
      </c>
      <c r="D33" s="24">
        <v>0</v>
      </c>
      <c r="E33" s="24">
        <v>603624.6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2:11" ht="12" customHeight="1">
      <c r="B34" s="19" t="s">
        <v>260</v>
      </c>
      <c r="C34" s="19" t="s">
        <v>261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2:11" ht="12" customHeight="1">
      <c r="B35" s="19" t="s">
        <v>262</v>
      </c>
      <c r="C35" s="19" t="s">
        <v>161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2:11" ht="12" customHeight="1">
      <c r="B36" s="19" t="s">
        <v>263</v>
      </c>
      <c r="C36" s="19" t="s">
        <v>121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2:11" ht="12" customHeight="1">
      <c r="B37" s="19" t="s">
        <v>214</v>
      </c>
      <c r="C37" s="25" t="s">
        <v>162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</row>
    <row r="38" spans="2:11" ht="12" customHeight="1">
      <c r="B38" s="19" t="s">
        <v>264</v>
      </c>
      <c r="C38" s="19" t="s">
        <v>114</v>
      </c>
      <c r="D38" s="24">
        <v>0</v>
      </c>
      <c r="E38" s="24">
        <f>+E15</f>
        <v>25602936.6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2:11" ht="12" customHeight="1">
      <c r="B39" s="19" t="s">
        <v>265</v>
      </c>
      <c r="C39" s="19" t="s">
        <v>121</v>
      </c>
      <c r="D39" s="24">
        <v>0</v>
      </c>
      <c r="E39" s="24">
        <f>+E15-E33</f>
        <v>24999312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2:5" ht="15.75">
      <c r="B40" s="21" t="s">
        <v>216</v>
      </c>
      <c r="E40" s="67">
        <f>+E39-'balance sheet'!E21</f>
        <v>-19442499.6</v>
      </c>
    </row>
    <row r="41" ht="9.75" customHeight="1">
      <c r="B41" s="22" t="s">
        <v>209</v>
      </c>
    </row>
    <row r="42" ht="12.75" customHeight="1">
      <c r="B42" s="21"/>
    </row>
    <row r="43" ht="13.5" customHeight="1">
      <c r="B43" s="21" t="s">
        <v>277</v>
      </c>
    </row>
    <row r="44" spans="8:9" ht="13.5" customHeight="1">
      <c r="H44" s="436" t="s">
        <v>211</v>
      </c>
      <c r="I44" s="436"/>
    </row>
    <row r="45" spans="2:9" ht="26.25" customHeight="1">
      <c r="B45" s="23" t="s">
        <v>112</v>
      </c>
      <c r="C45" s="23" t="s">
        <v>19</v>
      </c>
      <c r="D45" s="23" t="s">
        <v>278</v>
      </c>
      <c r="E45" s="23" t="s">
        <v>279</v>
      </c>
      <c r="F45" s="23" t="s">
        <v>280</v>
      </c>
      <c r="G45" s="23" t="s">
        <v>281</v>
      </c>
      <c r="H45" s="23" t="s">
        <v>280</v>
      </c>
      <c r="I45" s="23" t="s">
        <v>281</v>
      </c>
    </row>
    <row r="46" spans="2:9" ht="13.5" customHeight="1">
      <c r="B46" s="19" t="s">
        <v>212</v>
      </c>
      <c r="C46" s="94" t="s">
        <v>449</v>
      </c>
      <c r="D46" s="24" t="s">
        <v>270</v>
      </c>
      <c r="E46" s="24" t="s">
        <v>209</v>
      </c>
      <c r="F46" s="24">
        <v>10</v>
      </c>
      <c r="G46" s="24">
        <v>400000</v>
      </c>
      <c r="H46" s="24">
        <v>10</v>
      </c>
      <c r="I46" s="24">
        <f>+G46</f>
        <v>400000</v>
      </c>
    </row>
    <row r="47" spans="2:9" ht="13.5" customHeight="1">
      <c r="B47" s="19" t="s">
        <v>213</v>
      </c>
      <c r="C47" s="25" t="s">
        <v>118</v>
      </c>
      <c r="D47" s="24" t="s">
        <v>270</v>
      </c>
      <c r="E47" s="24" t="s">
        <v>209</v>
      </c>
      <c r="F47" s="24" t="s">
        <v>270</v>
      </c>
      <c r="G47" s="24" t="s">
        <v>270</v>
      </c>
      <c r="H47" s="24" t="s">
        <v>270</v>
      </c>
      <c r="I47" s="24" t="s">
        <v>270</v>
      </c>
    </row>
    <row r="48" ht="15.75">
      <c r="B48" s="21" t="s">
        <v>216</v>
      </c>
    </row>
    <row r="49" spans="2:4" ht="15">
      <c r="B49" s="22" t="s">
        <v>209</v>
      </c>
      <c r="D49" t="s">
        <v>420</v>
      </c>
    </row>
    <row r="50" spans="1:120" ht="15">
      <c r="BP50" s="426"/>
      <c r="BQ50" s="426"/>
      <c r="BR50" s="426"/>
      <c r="BS50" s="426"/>
      <c r="BT50" s="426"/>
      <c r="BU50" s="426"/>
      <c r="BV50" s="426"/>
      <c r="BW50" s="426"/>
      <c r="BX50" s="426"/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</row>
    <row r="51" spans="4:5" ht="15">
      <c r="D51" t="s">
        <v>419</v>
      </c>
      <c r="E51" s="22"/>
    </row>
    <row r="52" ht="15">
      <c r="E52" s="22"/>
    </row>
  </sheetData>
  <sheetProtection/>
  <mergeCells count="3">
    <mergeCell ref="F3:G3"/>
    <mergeCell ref="H44:I44"/>
    <mergeCell ref="BP50:DP50"/>
  </mergeCells>
  <hyperlinks>
    <hyperlink ref="B3" location="_ftnref1" display="_ftnref1"/>
  </hyperlinks>
  <printOptions/>
  <pageMargins left="0" right="0" top="0.4" bottom="0" header="0.31496062992125984" footer="0.31496062992125984"/>
  <pageSetup horizontalDpi="600" verticalDpi="600" orientation="landscape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P64"/>
  <sheetViews>
    <sheetView zoomScalePageLayoutView="0" workbookViewId="0" topLeftCell="A1">
      <selection activeCell="F68" sqref="F68"/>
    </sheetView>
  </sheetViews>
  <sheetFormatPr defaultColWidth="8.8515625" defaultRowHeight="15"/>
  <cols>
    <col min="1" max="1" width="7.421875" style="0" customWidth="1"/>
    <col min="2" max="2" width="6.421875" style="0" customWidth="1"/>
    <col min="3" max="3" width="33.28125" style="0" customWidth="1"/>
    <col min="4" max="4" width="18.28125" style="0" bestFit="1" customWidth="1"/>
    <col min="5" max="5" width="14.140625" style="0" customWidth="1"/>
    <col min="6" max="6" width="14.8515625" style="0" customWidth="1"/>
    <col min="7" max="7" width="15.421875" style="0" customWidth="1"/>
    <col min="8" max="8" width="12.421875" style="0" customWidth="1"/>
    <col min="9" max="9" width="11.00390625" style="0" customWidth="1"/>
    <col min="10" max="10" width="13.8515625" style="0" customWidth="1"/>
    <col min="11" max="11" width="14.7109375" style="0" customWidth="1"/>
    <col min="12" max="21" width="17.421875" style="0" customWidth="1"/>
  </cols>
  <sheetData>
    <row r="1" ht="14.25" customHeight="1">
      <c r="B1" s="92" t="s">
        <v>445</v>
      </c>
    </row>
    <row r="2" ht="15.75">
      <c r="B2" s="21" t="s">
        <v>282</v>
      </c>
    </row>
    <row r="3" spans="6:7" ht="15">
      <c r="F3" s="436" t="s">
        <v>211</v>
      </c>
      <c r="G3" s="436"/>
    </row>
    <row r="4" spans="2:7" ht="45">
      <c r="B4" s="23" t="s">
        <v>112</v>
      </c>
      <c r="C4" s="23" t="s">
        <v>19</v>
      </c>
      <c r="D4" s="23" t="s">
        <v>164</v>
      </c>
      <c r="E4" s="23" t="s">
        <v>165</v>
      </c>
      <c r="F4" s="23" t="s">
        <v>164</v>
      </c>
      <c r="G4" s="23" t="s">
        <v>165</v>
      </c>
    </row>
    <row r="5" spans="2:7" ht="13.5" customHeight="1">
      <c r="B5" s="19" t="s">
        <v>212</v>
      </c>
      <c r="C5" s="19"/>
      <c r="D5" s="24">
        <v>100</v>
      </c>
      <c r="E5" s="24">
        <v>1690220026.28</v>
      </c>
      <c r="F5" s="24">
        <v>100</v>
      </c>
      <c r="G5" s="24">
        <v>1690220026</v>
      </c>
    </row>
    <row r="6" spans="2:7" ht="13.5" customHeight="1">
      <c r="B6" s="19" t="s">
        <v>209</v>
      </c>
      <c r="C6" s="25" t="s">
        <v>118</v>
      </c>
      <c r="D6" s="24" t="s">
        <v>270</v>
      </c>
      <c r="E6" s="24" t="s">
        <v>270</v>
      </c>
      <c r="F6" s="24" t="s">
        <v>270</v>
      </c>
      <c r="G6" s="24" t="s">
        <v>270</v>
      </c>
    </row>
    <row r="7" spans="1:120" ht="13.5" customHeight="1"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</row>
    <row r="8" ht="12" customHeight="1">
      <c r="B8" s="92" t="s">
        <v>445</v>
      </c>
    </row>
    <row r="9" ht="13.5" customHeight="1">
      <c r="B9" s="21" t="s">
        <v>283</v>
      </c>
    </row>
    <row r="10" ht="13.5" customHeight="1">
      <c r="E10" s="22" t="s">
        <v>211</v>
      </c>
    </row>
    <row r="11" spans="2:5" ht="29.25" customHeight="1">
      <c r="B11" s="23" t="s">
        <v>112</v>
      </c>
      <c r="C11" s="23" t="s">
        <v>19</v>
      </c>
      <c r="D11" s="23" t="s">
        <v>121</v>
      </c>
      <c r="E11" s="23" t="s">
        <v>121</v>
      </c>
    </row>
    <row r="12" spans="2:5" ht="13.5" customHeight="1">
      <c r="B12" s="19" t="s">
        <v>212</v>
      </c>
      <c r="C12" s="19"/>
      <c r="D12" s="24">
        <v>0</v>
      </c>
      <c r="E12" s="24">
        <v>0</v>
      </c>
    </row>
    <row r="13" spans="2:5" ht="13.5" customHeight="1">
      <c r="B13" s="19" t="s">
        <v>209</v>
      </c>
      <c r="C13" s="25" t="s">
        <v>118</v>
      </c>
      <c r="D13" s="24">
        <v>0</v>
      </c>
      <c r="E13" s="24">
        <v>0</v>
      </c>
    </row>
    <row r="14" ht="13.5" customHeight="1">
      <c r="B14" s="21" t="s">
        <v>216</v>
      </c>
    </row>
    <row r="15" ht="13.5" customHeight="1">
      <c r="B15" s="22" t="s">
        <v>209</v>
      </c>
    </row>
    <row r="16" ht="13.5" customHeight="1">
      <c r="B16" s="92" t="s">
        <v>445</v>
      </c>
    </row>
    <row r="17" ht="13.5" customHeight="1">
      <c r="B17" s="21" t="s">
        <v>284</v>
      </c>
    </row>
    <row r="18" ht="13.5" customHeight="1">
      <c r="E18" s="22" t="s">
        <v>211</v>
      </c>
    </row>
    <row r="19" spans="2:5" ht="33" customHeight="1">
      <c r="B19" s="23" t="s">
        <v>112</v>
      </c>
      <c r="C19" s="23" t="s">
        <v>19</v>
      </c>
      <c r="D19" s="23" t="s">
        <v>121</v>
      </c>
      <c r="E19" s="23" t="s">
        <v>121</v>
      </c>
    </row>
    <row r="20" spans="2:6" ht="13.5" customHeight="1">
      <c r="B20" s="19" t="s">
        <v>232</v>
      </c>
      <c r="C20" s="19" t="s">
        <v>285</v>
      </c>
      <c r="D20" s="24">
        <v>1363869736.6265333</v>
      </c>
      <c r="E20" s="24">
        <v>1377965731.64</v>
      </c>
      <c r="F20" s="67">
        <f>+E20-'balance sheet'!E34</f>
        <v>-285117292.14921</v>
      </c>
    </row>
    <row r="21" spans="2:5" ht="13.5" customHeight="1">
      <c r="B21" s="19" t="s">
        <v>219</v>
      </c>
      <c r="C21" s="19" t="s">
        <v>286</v>
      </c>
      <c r="D21" s="24"/>
      <c r="E21" s="24"/>
    </row>
    <row r="22" spans="2:5" ht="13.5" customHeight="1">
      <c r="B22" s="19" t="s">
        <v>287</v>
      </c>
      <c r="C22" s="19"/>
      <c r="D22" s="24"/>
      <c r="E22" s="24"/>
    </row>
    <row r="23" spans="2:5" ht="13.5" customHeight="1">
      <c r="B23" s="19" t="s">
        <v>209</v>
      </c>
      <c r="C23" s="25" t="s">
        <v>118</v>
      </c>
      <c r="D23" s="24">
        <f>SUM(D20:D22)</f>
        <v>1363869736.6265333</v>
      </c>
      <c r="E23" s="24">
        <f>SUM(E20:E22)</f>
        <v>1377965731.64</v>
      </c>
    </row>
    <row r="24" spans="1:120" ht="13.5" customHeight="1"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</row>
    <row r="25" ht="13.5" customHeight="1">
      <c r="B25" s="92" t="s">
        <v>445</v>
      </c>
    </row>
    <row r="26" ht="13.5" customHeight="1">
      <c r="B26" s="21" t="s">
        <v>288</v>
      </c>
    </row>
    <row r="27" ht="13.5" customHeight="1">
      <c r="E27" s="22" t="s">
        <v>211</v>
      </c>
    </row>
    <row r="28" spans="2:5" ht="24.75" customHeight="1">
      <c r="B28" s="23" t="s">
        <v>112</v>
      </c>
      <c r="C28" s="23" t="s">
        <v>19</v>
      </c>
      <c r="D28" s="23" t="s">
        <v>121</v>
      </c>
      <c r="E28" s="23" t="s">
        <v>121</v>
      </c>
    </row>
    <row r="29" spans="2:5" ht="13.5" customHeight="1">
      <c r="B29" s="19" t="s">
        <v>232</v>
      </c>
      <c r="C29" s="19" t="s">
        <v>166</v>
      </c>
      <c r="D29" s="24"/>
      <c r="E29" s="24"/>
    </row>
    <row r="30" spans="2:5" ht="13.5" customHeight="1">
      <c r="B30" s="19" t="s">
        <v>219</v>
      </c>
      <c r="C30" s="19" t="s">
        <v>289</v>
      </c>
      <c r="D30" s="24"/>
      <c r="E30" s="24"/>
    </row>
    <row r="31" spans="2:5" ht="13.5" customHeight="1">
      <c r="B31" s="19" t="s">
        <v>287</v>
      </c>
      <c r="C31" s="19" t="s">
        <v>290</v>
      </c>
      <c r="D31" s="24"/>
      <c r="E31" s="24"/>
    </row>
    <row r="32" spans="2:5" ht="13.5" customHeight="1">
      <c r="B32" s="19" t="s">
        <v>291</v>
      </c>
      <c r="C32" s="19" t="s">
        <v>292</v>
      </c>
      <c r="D32" s="24"/>
      <c r="E32" s="24"/>
    </row>
    <row r="33" spans="2:5" ht="13.5" customHeight="1">
      <c r="B33" s="19" t="s">
        <v>293</v>
      </c>
      <c r="C33" s="19" t="s">
        <v>167</v>
      </c>
      <c r="D33" s="24">
        <f>+'balance sheet'!D36</f>
        <v>2028053850.22</v>
      </c>
      <c r="E33" s="24">
        <f>+'balance sheet'!E36</f>
        <v>2206890806.3294086</v>
      </c>
    </row>
    <row r="34" spans="2:5" ht="13.5" customHeight="1">
      <c r="B34" s="19" t="s">
        <v>294</v>
      </c>
      <c r="C34" s="19"/>
      <c r="D34" s="24"/>
      <c r="E34" s="24"/>
    </row>
    <row r="35" spans="2:5" ht="13.5" customHeight="1">
      <c r="B35" s="19" t="s">
        <v>209</v>
      </c>
      <c r="C35" s="25" t="s">
        <v>118</v>
      </c>
      <c r="D35" s="24">
        <f>+D33</f>
        <v>2028053850.22</v>
      </c>
      <c r="E35" s="24">
        <f>+E33</f>
        <v>2206890806.3294086</v>
      </c>
    </row>
    <row r="36" spans="1:120" ht="13.5" customHeight="1"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</row>
    <row r="37" ht="13.5" customHeight="1">
      <c r="B37" s="92" t="s">
        <v>445</v>
      </c>
    </row>
    <row r="38" ht="13.5" customHeight="1">
      <c r="B38" s="21" t="s">
        <v>295</v>
      </c>
    </row>
    <row r="39" spans="6:7" ht="13.5" customHeight="1">
      <c r="F39" s="436" t="s">
        <v>211</v>
      </c>
      <c r="G39" s="436"/>
    </row>
    <row r="40" spans="2:7" ht="13.5" customHeight="1">
      <c r="B40" s="23" t="s">
        <v>112</v>
      </c>
      <c r="C40" s="23" t="s">
        <v>19</v>
      </c>
      <c r="D40" s="23" t="s">
        <v>168</v>
      </c>
      <c r="E40" s="23" t="s">
        <v>169</v>
      </c>
      <c r="F40" s="23" t="s">
        <v>168</v>
      </c>
      <c r="G40" s="23" t="s">
        <v>169</v>
      </c>
    </row>
    <row r="41" spans="2:7" ht="13.5" customHeight="1">
      <c r="B41" s="19" t="s">
        <v>232</v>
      </c>
      <c r="C41" s="19" t="s">
        <v>285</v>
      </c>
      <c r="D41" s="24">
        <v>0</v>
      </c>
      <c r="E41" s="24">
        <v>0</v>
      </c>
      <c r="F41" s="24">
        <f>+'balance sheet'!E38</f>
        <v>1270602877.8</v>
      </c>
      <c r="G41" s="24">
        <v>0</v>
      </c>
    </row>
    <row r="42" spans="2:7" ht="13.5" customHeight="1">
      <c r="B42" s="19" t="s">
        <v>219</v>
      </c>
      <c r="C42" s="19" t="s">
        <v>286</v>
      </c>
      <c r="D42" s="24">
        <v>0</v>
      </c>
      <c r="E42" s="24">
        <v>0</v>
      </c>
      <c r="F42" s="24">
        <v>0</v>
      </c>
      <c r="G42" s="24">
        <v>0</v>
      </c>
    </row>
    <row r="43" spans="2:7" ht="13.5" customHeight="1">
      <c r="B43" s="19" t="s">
        <v>287</v>
      </c>
      <c r="C43" s="19"/>
      <c r="D43" s="24">
        <v>0</v>
      </c>
      <c r="E43" s="24">
        <v>0</v>
      </c>
      <c r="F43" s="24">
        <v>0</v>
      </c>
      <c r="G43" s="24">
        <v>0</v>
      </c>
    </row>
    <row r="44" spans="2:7" ht="13.5" customHeight="1">
      <c r="B44" s="19" t="s">
        <v>209</v>
      </c>
      <c r="C44" s="25" t="s">
        <v>118</v>
      </c>
      <c r="D44" s="24">
        <v>0</v>
      </c>
      <c r="E44" s="24">
        <v>0</v>
      </c>
      <c r="F44" s="24">
        <f>SUM(F41:F43)</f>
        <v>1270602877.8</v>
      </c>
      <c r="G44" s="24">
        <v>0</v>
      </c>
    </row>
    <row r="45" spans="1:120" ht="13.5" customHeight="1"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</row>
    <row r="46" ht="13.5" customHeight="1">
      <c r="B46" s="92" t="s">
        <v>445</v>
      </c>
    </row>
    <row r="47" ht="13.5" customHeight="1">
      <c r="B47" s="21" t="s">
        <v>296</v>
      </c>
    </row>
    <row r="48" spans="7:8" ht="13.5" customHeight="1">
      <c r="G48" s="436" t="s">
        <v>211</v>
      </c>
      <c r="H48" s="436"/>
    </row>
    <row r="49" spans="2:8" ht="42.75" customHeight="1">
      <c r="B49" s="23" t="s">
        <v>112</v>
      </c>
      <c r="C49" s="23" t="s">
        <v>19</v>
      </c>
      <c r="D49" s="23" t="s">
        <v>121</v>
      </c>
      <c r="E49" s="23" t="s">
        <v>120</v>
      </c>
      <c r="F49" s="23" t="s">
        <v>297</v>
      </c>
      <c r="G49" s="23" t="s">
        <v>298</v>
      </c>
      <c r="H49" s="23" t="s">
        <v>121</v>
      </c>
    </row>
    <row r="50" spans="2:8" ht="13.5" customHeight="1">
      <c r="B50" s="19" t="s">
        <v>232</v>
      </c>
      <c r="C50" s="19" t="s">
        <v>170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2:8" ht="13.5" customHeight="1">
      <c r="B51" s="19" t="s">
        <v>219</v>
      </c>
      <c r="C51" s="19" t="s">
        <v>171</v>
      </c>
      <c r="D51" s="24">
        <v>0</v>
      </c>
      <c r="E51" s="24">
        <f>+'balance sheet'!E48</f>
        <v>0</v>
      </c>
      <c r="F51" s="24">
        <v>0</v>
      </c>
      <c r="G51" s="24">
        <v>0</v>
      </c>
      <c r="H51" s="24">
        <f>+E51</f>
        <v>0</v>
      </c>
    </row>
    <row r="52" spans="2:8" ht="10.5" customHeight="1">
      <c r="B52" s="19" t="s">
        <v>287</v>
      </c>
      <c r="C52" s="19"/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2:8" ht="13.5" customHeight="1">
      <c r="B53" s="19" t="s">
        <v>209</v>
      </c>
      <c r="C53" s="25" t="s">
        <v>118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</row>
    <row r="54" ht="13.5" customHeight="1">
      <c r="B54" s="21" t="s">
        <v>216</v>
      </c>
    </row>
    <row r="55" ht="13.5" customHeight="1">
      <c r="B55" s="22" t="s">
        <v>209</v>
      </c>
    </row>
    <row r="56" ht="13.5" customHeight="1">
      <c r="B56" s="92" t="s">
        <v>445</v>
      </c>
    </row>
    <row r="57" ht="13.5" customHeight="1">
      <c r="B57" s="21" t="s">
        <v>299</v>
      </c>
    </row>
    <row r="58" ht="13.5" customHeight="1">
      <c r="E58" s="22" t="s">
        <v>211</v>
      </c>
    </row>
    <row r="59" spans="2:5" ht="26.25" customHeight="1">
      <c r="B59" s="23" t="s">
        <v>112</v>
      </c>
      <c r="C59" s="23" t="s">
        <v>19</v>
      </c>
      <c r="D59" s="23" t="s">
        <v>121</v>
      </c>
      <c r="E59" s="23" t="s">
        <v>121</v>
      </c>
    </row>
    <row r="60" spans="2:5" ht="13.5" customHeight="1">
      <c r="B60" s="19" t="s">
        <v>232</v>
      </c>
      <c r="C60" s="19"/>
      <c r="D60" s="24">
        <v>7754086</v>
      </c>
      <c r="E60" s="24">
        <v>8052639</v>
      </c>
    </row>
    <row r="61" spans="2:5" ht="13.5" customHeight="1">
      <c r="B61" s="19" t="s">
        <v>209</v>
      </c>
      <c r="C61" s="25" t="s">
        <v>118</v>
      </c>
      <c r="D61" s="24">
        <v>0</v>
      </c>
      <c r="E61" s="24">
        <v>0</v>
      </c>
    </row>
    <row r="62" ht="13.5" customHeight="1">
      <c r="B62" s="21" t="s">
        <v>216</v>
      </c>
    </row>
    <row r="63" spans="2:3" ht="15">
      <c r="B63" s="22" t="s">
        <v>209</v>
      </c>
      <c r="C63" t="s">
        <v>420</v>
      </c>
    </row>
    <row r="64" spans="1:120" ht="15">
      <c r="C64" t="s">
        <v>419</v>
      </c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/>
      <c r="CX64" s="426"/>
      <c r="CY64" s="426"/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</row>
  </sheetData>
  <sheetProtection/>
  <mergeCells count="8">
    <mergeCell ref="BP64:DP64"/>
    <mergeCell ref="BP7:DP7"/>
    <mergeCell ref="BP24:DP24"/>
    <mergeCell ref="F3:G3"/>
    <mergeCell ref="F39:G39"/>
    <mergeCell ref="G48:H48"/>
    <mergeCell ref="BP36:DP36"/>
    <mergeCell ref="BP45:DP45"/>
  </mergeCells>
  <printOptions/>
  <pageMargins left="0.36" right="0.15748031496063" top="0" bottom="0" header="0.15748031496063" footer="0.15748031496063"/>
  <pageSetup horizontalDpi="600" verticalDpi="600" orientation="portrait" paperSize="9" scale="8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P95"/>
  <sheetViews>
    <sheetView zoomScalePageLayoutView="0" workbookViewId="0" topLeftCell="A43">
      <selection activeCell="G16" sqref="G16:H16"/>
    </sheetView>
  </sheetViews>
  <sheetFormatPr defaultColWidth="8.8515625" defaultRowHeight="15"/>
  <cols>
    <col min="1" max="1" width="7.421875" style="0" customWidth="1"/>
    <col min="2" max="2" width="6.421875" style="0" customWidth="1"/>
    <col min="3" max="3" width="54.421875" style="0" customWidth="1"/>
    <col min="4" max="4" width="23.00390625" style="0" bestFit="1" customWidth="1"/>
    <col min="5" max="5" width="18.28125" style="0" customWidth="1"/>
    <col min="6" max="6" width="15.28125" style="0" bestFit="1" customWidth="1"/>
    <col min="7" max="7" width="12.28125" style="0" customWidth="1"/>
    <col min="8" max="8" width="14.28125" style="0" bestFit="1" customWidth="1"/>
    <col min="9" max="9" width="11.00390625" style="0" customWidth="1"/>
    <col min="10" max="10" width="13.8515625" style="0" customWidth="1"/>
    <col min="11" max="11" width="14.7109375" style="0" customWidth="1"/>
    <col min="12" max="21" width="17.421875" style="0" customWidth="1"/>
  </cols>
  <sheetData>
    <row r="1" ht="15.75" customHeight="1">
      <c r="B1" s="92" t="s">
        <v>445</v>
      </c>
    </row>
    <row r="2" ht="15.75" customHeight="1">
      <c r="B2" s="92" t="s">
        <v>300</v>
      </c>
    </row>
    <row r="3" spans="6:7" ht="15.75" customHeight="1">
      <c r="F3" s="436" t="s">
        <v>211</v>
      </c>
      <c r="G3" s="436"/>
    </row>
    <row r="4" spans="2:7" ht="15.75" customHeight="1">
      <c r="B4" s="23" t="s">
        <v>112</v>
      </c>
      <c r="C4" s="34" t="s">
        <v>19</v>
      </c>
      <c r="D4" s="34" t="s">
        <v>168</v>
      </c>
      <c r="E4" s="34" t="s">
        <v>169</v>
      </c>
      <c r="F4" s="34" t="s">
        <v>168</v>
      </c>
      <c r="G4" s="34" t="s">
        <v>169</v>
      </c>
    </row>
    <row r="5" spans="2:7" ht="15.75" customHeight="1">
      <c r="B5" s="19" t="s">
        <v>232</v>
      </c>
      <c r="C5" s="19" t="s">
        <v>172</v>
      </c>
      <c r="D5" s="24">
        <f>+D8</f>
        <v>10295048705.4</v>
      </c>
      <c r="E5" s="24">
        <v>0</v>
      </c>
      <c r="F5" s="24">
        <f>+F8</f>
        <v>9777219660.3668</v>
      </c>
      <c r="G5" s="24">
        <v>0</v>
      </c>
    </row>
    <row r="6" spans="2:7" ht="15.75" customHeight="1">
      <c r="B6" s="19" t="s">
        <v>301</v>
      </c>
      <c r="C6" s="19" t="s">
        <v>173</v>
      </c>
      <c r="D6" s="24">
        <v>0</v>
      </c>
      <c r="E6" s="24">
        <v>0</v>
      </c>
      <c r="F6" s="24">
        <v>0</v>
      </c>
      <c r="G6" s="24">
        <v>0</v>
      </c>
    </row>
    <row r="7" spans="2:7" ht="15.75" customHeight="1">
      <c r="B7" s="19" t="s">
        <v>302</v>
      </c>
      <c r="C7" s="19" t="s">
        <v>174</v>
      </c>
      <c r="D7" s="24">
        <v>0</v>
      </c>
      <c r="E7" s="24">
        <v>0</v>
      </c>
      <c r="F7" s="24">
        <v>0</v>
      </c>
      <c r="G7" s="24">
        <v>0</v>
      </c>
    </row>
    <row r="8" spans="2:7" ht="15">
      <c r="B8" s="19" t="s">
        <v>303</v>
      </c>
      <c r="C8" s="19" t="s">
        <v>175</v>
      </c>
      <c r="D8" s="24">
        <f>+'balance sheet'!D47</f>
        <v>10295048705.4</v>
      </c>
      <c r="E8" s="24">
        <v>0</v>
      </c>
      <c r="F8" s="24">
        <f>+'balance sheet'!E47</f>
        <v>9777219660.3668</v>
      </c>
      <c r="G8" s="24">
        <v>0</v>
      </c>
    </row>
    <row r="9" spans="2:7" ht="12" customHeight="1">
      <c r="B9" s="19" t="s">
        <v>219</v>
      </c>
      <c r="C9" s="19" t="s">
        <v>304</v>
      </c>
      <c r="D9" s="24">
        <v>0</v>
      </c>
      <c r="E9" s="24">
        <v>0</v>
      </c>
      <c r="F9" s="24">
        <v>0</v>
      </c>
      <c r="G9" s="24">
        <v>0</v>
      </c>
    </row>
    <row r="10" spans="2:7" ht="13.5" customHeight="1">
      <c r="B10" s="19" t="s">
        <v>305</v>
      </c>
      <c r="C10" s="19" t="s">
        <v>306</v>
      </c>
      <c r="D10" s="24">
        <v>0</v>
      </c>
      <c r="E10" s="24">
        <v>0</v>
      </c>
      <c r="F10" s="24">
        <v>0</v>
      </c>
      <c r="G10" s="24">
        <v>0</v>
      </c>
    </row>
    <row r="11" spans="2:7" ht="13.5" customHeight="1">
      <c r="B11" s="19" t="s">
        <v>307</v>
      </c>
      <c r="C11" s="19"/>
      <c r="D11" s="24">
        <v>0</v>
      </c>
      <c r="E11" s="24">
        <v>0</v>
      </c>
      <c r="F11" s="24">
        <v>0</v>
      </c>
      <c r="G11" s="24">
        <v>0</v>
      </c>
    </row>
    <row r="12" ht="13.5" customHeight="1">
      <c r="B12" s="21" t="s">
        <v>216</v>
      </c>
    </row>
    <row r="13" ht="13.5" customHeight="1">
      <c r="B13" s="22" t="s">
        <v>209</v>
      </c>
    </row>
    <row r="14" ht="13.5" customHeight="1">
      <c r="B14" s="92" t="s">
        <v>445</v>
      </c>
    </row>
    <row r="15" ht="13.5" customHeight="1">
      <c r="B15" s="21" t="s">
        <v>308</v>
      </c>
    </row>
    <row r="16" spans="7:8" ht="13.5" customHeight="1">
      <c r="G16" s="436" t="s">
        <v>211</v>
      </c>
      <c r="H16" s="436"/>
    </row>
    <row r="17" spans="2:8" ht="25.5" customHeight="1">
      <c r="B17" s="23" t="s">
        <v>112</v>
      </c>
      <c r="C17" s="23" t="s">
        <v>19</v>
      </c>
      <c r="D17" s="34" t="s">
        <v>309</v>
      </c>
      <c r="E17" s="34" t="s">
        <v>176</v>
      </c>
      <c r="F17" s="34" t="s">
        <v>309</v>
      </c>
      <c r="G17" s="34" t="s">
        <v>176</v>
      </c>
      <c r="H17" s="34" t="s">
        <v>310</v>
      </c>
    </row>
    <row r="18" spans="2:8" ht="12.75" customHeight="1">
      <c r="B18" s="19" t="s">
        <v>232</v>
      </c>
      <c r="C18" s="19" t="s">
        <v>114</v>
      </c>
      <c r="D18" s="24">
        <v>0</v>
      </c>
      <c r="E18" s="24">
        <f>+'balance sheet'!D56</f>
        <v>3753574900</v>
      </c>
      <c r="F18" s="24">
        <v>0</v>
      </c>
      <c r="G18" s="24">
        <v>0</v>
      </c>
      <c r="H18" s="24">
        <f>SUM(D18:G18)</f>
        <v>3753574900</v>
      </c>
    </row>
    <row r="19" spans="2:8" ht="12.75" customHeight="1">
      <c r="B19" s="19" t="s">
        <v>213</v>
      </c>
      <c r="C19" s="19" t="s">
        <v>120</v>
      </c>
      <c r="D19" s="24">
        <v>0</v>
      </c>
      <c r="E19" s="24">
        <v>33000000</v>
      </c>
      <c r="F19" s="24">
        <v>0</v>
      </c>
      <c r="G19" s="24">
        <v>0</v>
      </c>
      <c r="H19" s="24">
        <f>SUM(D19:G19)</f>
        <v>33000000</v>
      </c>
    </row>
    <row r="20" spans="2:8" ht="12.75" customHeight="1">
      <c r="B20" s="19" t="s">
        <v>287</v>
      </c>
      <c r="C20" s="19" t="s">
        <v>220</v>
      </c>
      <c r="D20" s="24">
        <v>0</v>
      </c>
      <c r="E20" s="24">
        <v>22736528</v>
      </c>
      <c r="F20" s="24">
        <v>0</v>
      </c>
      <c r="G20" s="24">
        <v>0</v>
      </c>
      <c r="H20" s="24">
        <f>SUM(D20:G20)</f>
        <v>22736528</v>
      </c>
    </row>
    <row r="21" spans="2:8" ht="12.75" customHeight="1">
      <c r="B21" s="19" t="s">
        <v>291</v>
      </c>
      <c r="C21" s="19" t="s">
        <v>121</v>
      </c>
      <c r="D21" s="24">
        <f>+D18+D19-D20</f>
        <v>0</v>
      </c>
      <c r="E21" s="24">
        <f>+E18+E19-E20</f>
        <v>3763838372</v>
      </c>
      <c r="F21" s="24">
        <f>+F18+F19-F20</f>
        <v>0</v>
      </c>
      <c r="G21" s="24">
        <f>+G18+G19-G20</f>
        <v>0</v>
      </c>
      <c r="H21" s="24">
        <f>+H18+H19-H20</f>
        <v>3763838372</v>
      </c>
    </row>
    <row r="22" spans="1:120" ht="12.75" customHeight="1">
      <c r="E22" s="67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  <c r="CH22" s="426"/>
      <c r="CI22" s="426"/>
      <c r="CJ22" s="426"/>
      <c r="CK22" s="426"/>
      <c r="CL22" s="426"/>
      <c r="CM22" s="426"/>
      <c r="CN22" s="426"/>
      <c r="CO22" s="426"/>
      <c r="CP22" s="426"/>
      <c r="CQ22" s="426"/>
      <c r="CR22" s="426"/>
      <c r="CS22" s="426"/>
      <c r="CT22" s="426"/>
      <c r="CU22" s="426"/>
      <c r="CV22" s="426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426"/>
      <c r="DL22" s="426"/>
      <c r="DM22" s="426"/>
      <c r="DN22" s="426"/>
      <c r="DO22" s="426"/>
      <c r="DP22" s="426"/>
    </row>
    <row r="23" ht="12.75" customHeight="1">
      <c r="B23" s="92" t="s">
        <v>445</v>
      </c>
    </row>
    <row r="24" spans="2:5" ht="13.5" customHeight="1">
      <c r="B24" s="21" t="s">
        <v>311</v>
      </c>
      <c r="E24" s="67"/>
    </row>
    <row r="25" spans="5:6" ht="17.25" customHeight="1">
      <c r="E25" s="436" t="s">
        <v>211</v>
      </c>
      <c r="F25" s="436"/>
    </row>
    <row r="26" spans="2:6" ht="42" customHeight="1">
      <c r="B26" s="23" t="s">
        <v>112</v>
      </c>
      <c r="C26" s="34" t="s">
        <v>19</v>
      </c>
      <c r="D26" s="34" t="s">
        <v>177</v>
      </c>
      <c r="E26" s="34" t="s">
        <v>178</v>
      </c>
      <c r="F26" s="34" t="s">
        <v>118</v>
      </c>
    </row>
    <row r="27" spans="2:6" ht="13.5" customHeight="1">
      <c r="B27" s="19" t="s">
        <v>212</v>
      </c>
      <c r="C27" s="19" t="s">
        <v>114</v>
      </c>
      <c r="D27" s="24">
        <f>+'balance sheet'!D60</f>
        <v>19334524604</v>
      </c>
      <c r="E27" s="24">
        <v>0</v>
      </c>
      <c r="F27" s="24">
        <f>+D27</f>
        <v>19334524604</v>
      </c>
    </row>
    <row r="28" spans="2:6" ht="13.5" customHeight="1">
      <c r="B28" s="19" t="s">
        <v>213</v>
      </c>
      <c r="C28" s="19" t="s">
        <v>131</v>
      </c>
      <c r="D28" s="24"/>
      <c r="E28" s="24"/>
      <c r="F28" s="24"/>
    </row>
    <row r="29" spans="2:6" ht="13.5" customHeight="1">
      <c r="B29" s="19" t="s">
        <v>305</v>
      </c>
      <c r="C29" s="19" t="s">
        <v>179</v>
      </c>
      <c r="D29" s="24"/>
      <c r="E29" s="24"/>
      <c r="F29" s="24"/>
    </row>
    <row r="30" spans="2:6" ht="13.5" customHeight="1">
      <c r="B30" s="19" t="s">
        <v>307</v>
      </c>
      <c r="C30" s="28" t="s">
        <v>312</v>
      </c>
      <c r="D30" s="24"/>
      <c r="E30" s="24"/>
      <c r="F30" s="24"/>
    </row>
    <row r="31" spans="2:6" ht="13.5" customHeight="1">
      <c r="B31" s="19" t="s">
        <v>214</v>
      </c>
      <c r="C31" s="19" t="s">
        <v>152</v>
      </c>
      <c r="D31" s="24"/>
      <c r="E31" s="24"/>
      <c r="F31" s="24"/>
    </row>
    <row r="32" spans="2:6" ht="13.5" customHeight="1">
      <c r="B32" s="19" t="s">
        <v>221</v>
      </c>
      <c r="C32" s="19" t="s">
        <v>179</v>
      </c>
      <c r="D32" s="24"/>
      <c r="E32" s="24"/>
      <c r="F32" s="24"/>
    </row>
    <row r="33" spans="2:6" ht="13.5" customHeight="1">
      <c r="B33" s="19" t="s">
        <v>223</v>
      </c>
      <c r="C33" s="19" t="s">
        <v>113</v>
      </c>
      <c r="D33" s="24"/>
      <c r="E33" s="24"/>
      <c r="F33" s="24"/>
    </row>
    <row r="34" spans="2:6" ht="13.5" customHeight="1">
      <c r="B34" s="19" t="s">
        <v>313</v>
      </c>
      <c r="C34" s="19" t="s">
        <v>314</v>
      </c>
      <c r="D34" s="24"/>
      <c r="E34" s="24"/>
      <c r="F34" s="24"/>
    </row>
    <row r="35" spans="2:6" ht="13.5" customHeight="1">
      <c r="B35" s="19" t="s">
        <v>215</v>
      </c>
      <c r="C35" s="19" t="s">
        <v>121</v>
      </c>
      <c r="D35" s="24">
        <f>+D27</f>
        <v>19334524604</v>
      </c>
      <c r="E35" s="24">
        <v>0</v>
      </c>
      <c r="F35" s="24">
        <f>+D35</f>
        <v>19334524604</v>
      </c>
    </row>
    <row r="36" spans="1:120" ht="19.5" customHeight="1"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426"/>
      <c r="CS36" s="426"/>
      <c r="CT36" s="426"/>
      <c r="CU36" s="426"/>
      <c r="CV36" s="426"/>
      <c r="CW36" s="426"/>
      <c r="CX36" s="426"/>
      <c r="CY36" s="426"/>
      <c r="CZ36" s="426"/>
      <c r="DA36" s="426"/>
      <c r="DB36" s="426"/>
      <c r="DC36" s="426"/>
      <c r="DD36" s="426"/>
      <c r="DE36" s="426"/>
      <c r="DF36" s="426"/>
      <c r="DG36" s="426"/>
      <c r="DH36" s="426"/>
      <c r="DI36" s="426"/>
      <c r="DJ36" s="426"/>
      <c r="DK36" s="426"/>
      <c r="DL36" s="426"/>
      <c r="DM36" s="426"/>
      <c r="DN36" s="426"/>
      <c r="DO36" s="426"/>
      <c r="DP36" s="426"/>
    </row>
    <row r="37" ht="15" customHeight="1">
      <c r="B37" s="92" t="s">
        <v>445</v>
      </c>
    </row>
    <row r="38" ht="15" customHeight="1">
      <c r="B38" s="21" t="s">
        <v>315</v>
      </c>
    </row>
    <row r="39" spans="6:7" ht="15" customHeight="1">
      <c r="F39" s="436" t="s">
        <v>211</v>
      </c>
      <c r="G39" s="436"/>
    </row>
    <row r="40" spans="2:7" ht="30">
      <c r="B40" s="23" t="s">
        <v>112</v>
      </c>
      <c r="C40" s="23" t="s">
        <v>19</v>
      </c>
      <c r="D40" s="23" t="s">
        <v>121</v>
      </c>
      <c r="E40" s="23" t="s">
        <v>120</v>
      </c>
      <c r="F40" s="23" t="s">
        <v>220</v>
      </c>
      <c r="G40" s="23" t="s">
        <v>121</v>
      </c>
    </row>
    <row r="41" spans="2:7" ht="13.5" customHeight="1">
      <c r="B41" s="19" t="s">
        <v>212</v>
      </c>
      <c r="C41" s="19" t="s">
        <v>180</v>
      </c>
      <c r="D41" s="24">
        <v>0</v>
      </c>
      <c r="E41" s="24">
        <v>0</v>
      </c>
      <c r="F41" s="24">
        <v>0</v>
      </c>
      <c r="G41" s="24">
        <v>0</v>
      </c>
    </row>
    <row r="42" spans="2:7" ht="13.5" customHeight="1">
      <c r="B42" s="19" t="s">
        <v>213</v>
      </c>
      <c r="C42" s="28" t="s">
        <v>181</v>
      </c>
      <c r="D42" s="24">
        <v>0</v>
      </c>
      <c r="E42" s="24">
        <v>0</v>
      </c>
      <c r="F42" s="24">
        <v>0</v>
      </c>
      <c r="G42" s="24">
        <v>0</v>
      </c>
    </row>
    <row r="43" spans="2:7" ht="15">
      <c r="B43" s="19" t="s">
        <v>213</v>
      </c>
      <c r="C43" s="19" t="s">
        <v>142</v>
      </c>
      <c r="D43" s="24">
        <v>0</v>
      </c>
      <c r="E43" s="24">
        <v>0</v>
      </c>
      <c r="F43" s="24">
        <v>0</v>
      </c>
      <c r="G43" s="24">
        <v>0</v>
      </c>
    </row>
    <row r="44" spans="2:7" ht="15">
      <c r="B44" s="19" t="s">
        <v>213</v>
      </c>
      <c r="C44" s="25" t="s">
        <v>118</v>
      </c>
      <c r="D44" s="24">
        <v>0</v>
      </c>
      <c r="E44" s="24">
        <v>0</v>
      </c>
      <c r="F44" s="24">
        <v>0</v>
      </c>
      <c r="G44" s="24">
        <v>0</v>
      </c>
    </row>
    <row r="45" spans="1:120" ht="15"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  <c r="CH45" s="426"/>
      <c r="CI45" s="426"/>
      <c r="CJ45" s="426"/>
      <c r="CK45" s="426"/>
      <c r="CL45" s="426"/>
      <c r="CM45" s="426"/>
      <c r="CN45" s="426"/>
      <c r="CO45" s="426"/>
      <c r="CP45" s="426"/>
      <c r="CQ45" s="426"/>
      <c r="CR45" s="426"/>
      <c r="CS45" s="426"/>
      <c r="CT45" s="426"/>
      <c r="CU45" s="426"/>
      <c r="CV45" s="426"/>
      <c r="CW45" s="426"/>
      <c r="CX45" s="426"/>
      <c r="CY45" s="426"/>
      <c r="CZ45" s="426"/>
      <c r="DA45" s="426"/>
      <c r="DB45" s="426"/>
      <c r="DC45" s="426"/>
      <c r="DD45" s="426"/>
      <c r="DE45" s="426"/>
      <c r="DF45" s="426"/>
      <c r="DG45" s="426"/>
      <c r="DH45" s="426"/>
      <c r="DI45" s="426"/>
      <c r="DJ45" s="426"/>
      <c r="DK45" s="426"/>
      <c r="DL45" s="426"/>
      <c r="DM45" s="426"/>
      <c r="DN45" s="426"/>
      <c r="DO45" s="426"/>
      <c r="DP45" s="426"/>
    </row>
    <row r="46" ht="15.75">
      <c r="B46" s="92" t="s">
        <v>445</v>
      </c>
    </row>
    <row r="47" ht="15.75">
      <c r="B47" s="21" t="s">
        <v>316</v>
      </c>
    </row>
    <row r="48" spans="4:5" ht="12.75" customHeight="1">
      <c r="D48" s="436" t="s">
        <v>211</v>
      </c>
      <c r="E48" s="436"/>
    </row>
    <row r="49" spans="2:5" ht="26.25" customHeight="1">
      <c r="B49" s="23" t="s">
        <v>112</v>
      </c>
      <c r="C49" s="23" t="s">
        <v>19</v>
      </c>
      <c r="D49" s="23" t="s">
        <v>121</v>
      </c>
      <c r="E49" s="23" t="s">
        <v>121</v>
      </c>
    </row>
    <row r="50" spans="2:5" ht="15" customHeight="1">
      <c r="B50" s="19" t="s">
        <v>232</v>
      </c>
      <c r="C50" s="19" t="s">
        <v>183</v>
      </c>
      <c r="D50" s="24"/>
      <c r="E50" s="24"/>
    </row>
    <row r="51" spans="2:5" ht="15" customHeight="1">
      <c r="B51" s="19" t="s">
        <v>301</v>
      </c>
      <c r="C51" s="19" t="s">
        <v>317</v>
      </c>
      <c r="D51" s="24">
        <v>0</v>
      </c>
      <c r="E51" s="24">
        <f>+'income statement'!E6</f>
        <v>5935465098.403621</v>
      </c>
    </row>
    <row r="52" spans="2:5" ht="15" customHeight="1">
      <c r="B52" s="19" t="s">
        <v>302</v>
      </c>
      <c r="C52" s="19"/>
      <c r="D52" s="24">
        <v>0</v>
      </c>
      <c r="E52" s="24">
        <v>0</v>
      </c>
    </row>
    <row r="53" spans="2:5" ht="15" customHeight="1">
      <c r="B53" s="19" t="s">
        <v>305</v>
      </c>
      <c r="C53" s="19" t="s">
        <v>184</v>
      </c>
      <c r="D53" s="24">
        <v>0</v>
      </c>
      <c r="E53" s="24">
        <v>0</v>
      </c>
    </row>
    <row r="54" spans="2:5" ht="15" customHeight="1">
      <c r="B54" s="19" t="s">
        <v>307</v>
      </c>
      <c r="C54" s="19"/>
      <c r="D54" s="24">
        <v>0</v>
      </c>
      <c r="E54" s="24">
        <v>0</v>
      </c>
    </row>
    <row r="55" spans="2:5" ht="15" customHeight="1">
      <c r="B55" s="19" t="s">
        <v>214</v>
      </c>
      <c r="C55" s="19" t="s">
        <v>185</v>
      </c>
      <c r="D55" s="24">
        <v>0</v>
      </c>
      <c r="E55" s="24">
        <f>SUM(E51:E54)</f>
        <v>5935465098.403621</v>
      </c>
    </row>
    <row r="56" spans="2:5" ht="15" customHeight="1">
      <c r="B56" s="19" t="s">
        <v>291</v>
      </c>
      <c r="C56" s="20" t="s">
        <v>186</v>
      </c>
      <c r="D56" s="24">
        <v>0</v>
      </c>
      <c r="E56" s="24">
        <v>0</v>
      </c>
    </row>
    <row r="57" spans="2:5" ht="15" customHeight="1">
      <c r="B57" s="19" t="s">
        <v>234</v>
      </c>
      <c r="C57" s="25" t="s">
        <v>187</v>
      </c>
      <c r="D57" s="24">
        <v>0</v>
      </c>
      <c r="E57" s="24">
        <f>+E55-E56</f>
        <v>5935465098.403621</v>
      </c>
    </row>
    <row r="58" spans="2:5" ht="15" customHeight="1">
      <c r="B58" s="19" t="s">
        <v>209</v>
      </c>
      <c r="C58" s="25" t="s">
        <v>318</v>
      </c>
      <c r="D58" s="24">
        <v>0</v>
      </c>
      <c r="E58" s="24">
        <v>0</v>
      </c>
    </row>
    <row r="59" spans="2:5" ht="15" customHeight="1">
      <c r="B59" s="19" t="s">
        <v>319</v>
      </c>
      <c r="C59" s="19" t="s">
        <v>320</v>
      </c>
      <c r="D59" s="24">
        <v>0</v>
      </c>
      <c r="E59" s="24">
        <f>+'income statement'!E7</f>
        <v>3873841177</v>
      </c>
    </row>
    <row r="60" spans="2:5" ht="15" customHeight="1">
      <c r="B60" s="19" t="s">
        <v>321</v>
      </c>
      <c r="C60" s="19"/>
      <c r="D60" s="24">
        <v>0</v>
      </c>
      <c r="E60" s="24">
        <v>0</v>
      </c>
    </row>
    <row r="61" spans="2:5" ht="15" customHeight="1">
      <c r="B61" s="19" t="s">
        <v>322</v>
      </c>
      <c r="C61" s="19" t="s">
        <v>188</v>
      </c>
      <c r="D61" s="24">
        <v>0</v>
      </c>
      <c r="E61" s="24">
        <v>0</v>
      </c>
    </row>
    <row r="62" spans="2:5" ht="15" customHeight="1">
      <c r="B62" s="19" t="s">
        <v>323</v>
      </c>
      <c r="C62" s="19"/>
      <c r="D62" s="24">
        <v>0</v>
      </c>
      <c r="E62" s="24">
        <v>0</v>
      </c>
    </row>
    <row r="63" spans="2:5" ht="15" customHeight="1">
      <c r="B63" s="19" t="s">
        <v>324</v>
      </c>
      <c r="C63" s="25" t="s">
        <v>325</v>
      </c>
      <c r="D63" s="24">
        <v>0</v>
      </c>
      <c r="E63" s="24">
        <f>+E59</f>
        <v>3873841177</v>
      </c>
    </row>
    <row r="64" spans="1:120" ht="12.75" customHeight="1">
      <c r="BP64" s="426"/>
      <c r="BQ64" s="426"/>
      <c r="BR64" s="426"/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  <c r="CT64" s="426"/>
      <c r="CU64" s="426"/>
      <c r="CV64" s="426"/>
      <c r="CW64" s="426"/>
      <c r="CX64" s="426"/>
      <c r="CY64" s="426"/>
      <c r="CZ64" s="426"/>
      <c r="DA64" s="426"/>
      <c r="DB64" s="426"/>
      <c r="DC64" s="426"/>
      <c r="DD64" s="426"/>
      <c r="DE64" s="426"/>
      <c r="DF64" s="426"/>
      <c r="DG64" s="426"/>
      <c r="DH64" s="426"/>
      <c r="DI64" s="426"/>
      <c r="DJ64" s="426"/>
      <c r="DK64" s="426"/>
      <c r="DL64" s="426"/>
      <c r="DM64" s="426"/>
      <c r="DN64" s="426"/>
      <c r="DO64" s="426"/>
      <c r="DP64" s="426"/>
    </row>
    <row r="65" ht="15.75">
      <c r="B65" s="92" t="s">
        <v>445</v>
      </c>
    </row>
    <row r="66" ht="14.25" customHeight="1">
      <c r="B66" s="21" t="s">
        <v>326</v>
      </c>
    </row>
    <row r="67" ht="14.25" customHeight="1">
      <c r="E67" s="22" t="s">
        <v>211</v>
      </c>
    </row>
    <row r="68" spans="2:5" ht="14.25" customHeight="1">
      <c r="B68" s="23" t="s">
        <v>112</v>
      </c>
      <c r="C68" s="23" t="s">
        <v>19</v>
      </c>
      <c r="D68" s="23" t="s">
        <v>121</v>
      </c>
      <c r="E68" s="23" t="s">
        <v>121</v>
      </c>
    </row>
    <row r="69" spans="2:5" ht="14.25" customHeight="1">
      <c r="B69" s="19" t="s">
        <v>212</v>
      </c>
      <c r="C69" s="19" t="s">
        <v>209</v>
      </c>
      <c r="D69" s="24">
        <v>0</v>
      </c>
      <c r="E69" s="24">
        <f>+'income statement'!E13</f>
        <v>187709760.18</v>
      </c>
    </row>
    <row r="70" spans="2:5" ht="14.25" customHeight="1">
      <c r="B70" s="19" t="s">
        <v>215</v>
      </c>
      <c r="C70" s="25" t="s">
        <v>118</v>
      </c>
      <c r="D70" s="24">
        <v>0</v>
      </c>
      <c r="E70" s="24">
        <v>0</v>
      </c>
    </row>
    <row r="71" spans="1:120" ht="14.25" customHeight="1">
      <c r="BP71" s="426"/>
      <c r="BQ71" s="426"/>
      <c r="BR71" s="426"/>
      <c r="BS71" s="426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/>
      <c r="CP71" s="426"/>
      <c r="CQ71" s="426"/>
      <c r="CR71" s="426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  <c r="DD71" s="426"/>
      <c r="DE71" s="426"/>
      <c r="DF71" s="426"/>
      <c r="DG71" s="426"/>
      <c r="DH71" s="426"/>
      <c r="DI71" s="426"/>
      <c r="DJ71" s="426"/>
      <c r="DK71" s="426"/>
      <c r="DL71" s="426"/>
      <c r="DM71" s="426"/>
      <c r="DN71" s="426"/>
      <c r="DO71" s="426"/>
      <c r="DP71" s="426"/>
    </row>
    <row r="72" ht="14.25" customHeight="1">
      <c r="B72" s="92" t="s">
        <v>445</v>
      </c>
    </row>
    <row r="73" ht="14.25" customHeight="1">
      <c r="B73" s="21" t="s">
        <v>327</v>
      </c>
    </row>
    <row r="74" ht="14.25" customHeight="1">
      <c r="E74" s="22" t="s">
        <v>211</v>
      </c>
    </row>
    <row r="75" spans="2:5" ht="14.25" customHeight="1">
      <c r="B75" s="23" t="s">
        <v>112</v>
      </c>
      <c r="C75" s="23" t="s">
        <v>19</v>
      </c>
      <c r="D75" s="23" t="s">
        <v>114</v>
      </c>
      <c r="E75" s="23" t="s">
        <v>121</v>
      </c>
    </row>
    <row r="76" spans="2:5" ht="14.25" customHeight="1">
      <c r="B76" s="19" t="s">
        <v>232</v>
      </c>
      <c r="C76" s="19" t="s">
        <v>328</v>
      </c>
      <c r="D76" s="24">
        <v>0</v>
      </c>
      <c r="E76" s="24">
        <v>0</v>
      </c>
    </row>
    <row r="77" spans="2:5" ht="14.25" customHeight="1">
      <c r="B77" s="19" t="s">
        <v>219</v>
      </c>
      <c r="C77" s="19" t="s">
        <v>329</v>
      </c>
      <c r="D77" s="24">
        <v>0</v>
      </c>
      <c r="E77" s="24">
        <v>0</v>
      </c>
    </row>
    <row r="78" spans="2:5" ht="14.25" customHeight="1">
      <c r="B78" s="19" t="s">
        <v>287</v>
      </c>
      <c r="C78" s="19" t="s">
        <v>330</v>
      </c>
      <c r="D78" s="24">
        <v>0</v>
      </c>
      <c r="E78" s="24">
        <v>0</v>
      </c>
    </row>
    <row r="79" spans="2:5" ht="14.25" customHeight="1">
      <c r="B79" s="19" t="s">
        <v>291</v>
      </c>
      <c r="C79" s="19" t="s">
        <v>331</v>
      </c>
      <c r="D79" s="24">
        <v>0</v>
      </c>
      <c r="E79" s="24">
        <f>+'income statement'!E18</f>
        <v>-4362475</v>
      </c>
    </row>
    <row r="80" spans="2:5" ht="14.25" customHeight="1">
      <c r="B80" s="19" t="s">
        <v>293</v>
      </c>
      <c r="C80" s="25" t="s">
        <v>118</v>
      </c>
      <c r="D80" s="24">
        <v>0</v>
      </c>
      <c r="E80" s="24">
        <v>0</v>
      </c>
    </row>
    <row r="81" spans="1:120" ht="14.25" customHeight="1">
      <c r="BP81" s="426"/>
      <c r="BQ81" s="426"/>
      <c r="BR81" s="426"/>
      <c r="BS81" s="426"/>
      <c r="BT81" s="426"/>
      <c r="BU81" s="426"/>
      <c r="BV81" s="426"/>
      <c r="BW81" s="426"/>
      <c r="BX81" s="426"/>
      <c r="BY81" s="426"/>
      <c r="BZ81" s="426"/>
      <c r="CA81" s="426"/>
      <c r="CB81" s="426"/>
      <c r="CC81" s="426"/>
      <c r="CD81" s="426"/>
      <c r="CE81" s="426"/>
      <c r="CF81" s="426"/>
      <c r="CG81" s="426"/>
      <c r="CH81" s="426"/>
      <c r="CI81" s="426"/>
      <c r="CJ81" s="426"/>
      <c r="CK81" s="426"/>
      <c r="CL81" s="426"/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6"/>
      <c r="DB81" s="426"/>
      <c r="DC81" s="426"/>
      <c r="DD81" s="426"/>
      <c r="DE81" s="426"/>
      <c r="DF81" s="426"/>
      <c r="DG81" s="426"/>
      <c r="DH81" s="426"/>
      <c r="DI81" s="426"/>
      <c r="DJ81" s="426"/>
      <c r="DK81" s="426"/>
      <c r="DL81" s="426"/>
      <c r="DM81" s="426"/>
      <c r="DN81" s="426"/>
      <c r="DO81" s="426"/>
      <c r="DP81" s="426"/>
    </row>
    <row r="82" ht="14.25" customHeight="1">
      <c r="B82" s="92" t="s">
        <v>445</v>
      </c>
    </row>
    <row r="83" ht="14.25" customHeight="1">
      <c r="B83" s="21" t="s">
        <v>332</v>
      </c>
    </row>
    <row r="84" ht="12" customHeight="1">
      <c r="E84" s="22" t="s">
        <v>211</v>
      </c>
    </row>
    <row r="85" spans="2:5" ht="15">
      <c r="B85" s="23" t="s">
        <v>112</v>
      </c>
      <c r="C85" s="23" t="s">
        <v>19</v>
      </c>
      <c r="D85" s="23" t="s">
        <v>114</v>
      </c>
      <c r="E85" s="23" t="s">
        <v>121</v>
      </c>
    </row>
    <row r="86" spans="2:5" ht="16.5" customHeight="1">
      <c r="B86" s="19" t="s">
        <v>232</v>
      </c>
      <c r="C86" s="19" t="s">
        <v>189</v>
      </c>
      <c r="D86" s="24">
        <v>0</v>
      </c>
      <c r="E86" s="24">
        <f>+'income statement'!E24</f>
        <v>0</v>
      </c>
    </row>
    <row r="87" spans="2:5" ht="16.5" customHeight="1">
      <c r="B87" s="19" t="s">
        <v>219</v>
      </c>
      <c r="C87" s="19" t="s">
        <v>333</v>
      </c>
      <c r="D87" s="24">
        <v>0</v>
      </c>
      <c r="E87" s="24">
        <v>0</v>
      </c>
    </row>
    <row r="88" spans="2:5" ht="12.75" customHeight="1" hidden="1" thickBot="1">
      <c r="B88" s="19" t="s">
        <v>287</v>
      </c>
      <c r="C88" s="19" t="s">
        <v>190</v>
      </c>
      <c r="D88" s="24">
        <v>0</v>
      </c>
      <c r="E88" s="24">
        <v>0</v>
      </c>
    </row>
    <row r="89" spans="2:5" ht="12.75" customHeight="1" hidden="1" thickBot="1">
      <c r="B89" s="19" t="s">
        <v>291</v>
      </c>
      <c r="C89" s="19" t="s">
        <v>191</v>
      </c>
      <c r="D89" s="24">
        <v>0</v>
      </c>
      <c r="E89" s="24">
        <v>0</v>
      </c>
    </row>
    <row r="90" spans="2:5" ht="12.75" customHeight="1" hidden="1" thickBot="1">
      <c r="B90" s="19" t="s">
        <v>293</v>
      </c>
      <c r="C90" s="19" t="s">
        <v>192</v>
      </c>
      <c r="D90" s="24">
        <v>0</v>
      </c>
      <c r="E90" s="24">
        <v>0</v>
      </c>
    </row>
    <row r="91" spans="2:5" ht="12.75" customHeight="1">
      <c r="B91" s="19" t="s">
        <v>294</v>
      </c>
      <c r="C91" s="25" t="s">
        <v>118</v>
      </c>
      <c r="D91" s="24">
        <v>0</v>
      </c>
      <c r="E91" s="24">
        <v>0</v>
      </c>
    </row>
    <row r="92" spans="1:120" ht="12.75" customHeight="1">
      <c r="BP92" s="426"/>
      <c r="BQ92" s="426"/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6"/>
      <c r="CH92" s="426"/>
      <c r="CI92" s="426"/>
      <c r="CJ92" s="426"/>
      <c r="CK92" s="426"/>
      <c r="CL92" s="426"/>
      <c r="CM92" s="426"/>
      <c r="CN92" s="426"/>
      <c r="CO92" s="426"/>
      <c r="CP92" s="426"/>
      <c r="CQ92" s="426"/>
      <c r="CR92" s="426"/>
      <c r="CS92" s="426"/>
      <c r="CT92" s="426"/>
      <c r="CU92" s="426"/>
      <c r="CV92" s="426"/>
      <c r="CW92" s="426"/>
      <c r="CX92" s="426"/>
      <c r="CY92" s="426"/>
      <c r="CZ92" s="426"/>
      <c r="DA92" s="426"/>
      <c r="DB92" s="426"/>
      <c r="DC92" s="426"/>
      <c r="DD92" s="426"/>
      <c r="DE92" s="426"/>
      <c r="DF92" s="426"/>
      <c r="DG92" s="426"/>
      <c r="DH92" s="426"/>
      <c r="DI92" s="426"/>
      <c r="DJ92" s="426"/>
      <c r="DK92" s="426"/>
      <c r="DL92" s="426"/>
      <c r="DM92" s="426"/>
      <c r="DN92" s="426"/>
      <c r="DO92" s="426"/>
      <c r="DP92" s="426"/>
    </row>
    <row r="93" spans="3:5" ht="15">
      <c r="C93" t="s">
        <v>420</v>
      </c>
      <c r="E93" s="22"/>
    </row>
    <row r="94" spans="3:5" ht="15">
      <c r="C94" t="s">
        <v>419</v>
      </c>
      <c r="E94" s="22"/>
    </row>
    <row r="95" ht="15">
      <c r="E95" s="22"/>
    </row>
  </sheetData>
  <sheetProtection/>
  <mergeCells count="12">
    <mergeCell ref="F3:G3"/>
    <mergeCell ref="E25:F25"/>
    <mergeCell ref="G16:H16"/>
    <mergeCell ref="D48:E48"/>
    <mergeCell ref="BP64:DP64"/>
    <mergeCell ref="BP71:DP71"/>
    <mergeCell ref="BP81:DP81"/>
    <mergeCell ref="BP92:DP92"/>
    <mergeCell ref="BP22:DP22"/>
    <mergeCell ref="BP36:DP36"/>
    <mergeCell ref="BP45:DP45"/>
    <mergeCell ref="F39:G39"/>
  </mergeCells>
  <hyperlinks>
    <hyperlink ref="C13" location="_ftn1" display="_ftn1"/>
    <hyperlink ref="C14" location="_ftn2" display="_ftn2"/>
    <hyperlink ref="C57" location="_ftn3" display="_ftn3"/>
  </hyperlinks>
  <printOptions/>
  <pageMargins left="0.84" right="0.15748031496062992" top="0.1968503937007874" bottom="0" header="0.15748031496062992" footer="0.15748031496062992"/>
  <pageSetup horizontalDpi="600" verticalDpi="600" orientation="portrait" paperSize="9" scale="6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P81"/>
  <sheetViews>
    <sheetView zoomScalePageLayoutView="0" workbookViewId="0" topLeftCell="B1">
      <selection activeCell="D51" sqref="D51"/>
    </sheetView>
  </sheetViews>
  <sheetFormatPr defaultColWidth="8.8515625" defaultRowHeight="15"/>
  <cols>
    <col min="1" max="2" width="4.421875" style="0" customWidth="1"/>
    <col min="3" max="3" width="54.421875" style="0" customWidth="1"/>
    <col min="4" max="4" width="15.00390625" style="0" customWidth="1"/>
    <col min="5" max="5" width="16.00390625" style="0" customWidth="1"/>
    <col min="6" max="6" width="14.28125" style="0" bestFit="1" customWidth="1"/>
    <col min="7" max="7" width="16.421875" style="0" bestFit="1" customWidth="1"/>
    <col min="8" max="8" width="12.421875" style="0" customWidth="1"/>
    <col min="9" max="9" width="11.00390625" style="0" customWidth="1"/>
    <col min="10" max="10" width="13.8515625" style="0" customWidth="1"/>
    <col min="11" max="11" width="14.7109375" style="0" customWidth="1"/>
    <col min="12" max="21" width="17.421875" style="0" customWidth="1"/>
  </cols>
  <sheetData>
    <row r="1" ht="12.75" customHeight="1">
      <c r="B1" s="21"/>
    </row>
    <row r="2" ht="12.75" customHeight="1">
      <c r="B2" s="21" t="s">
        <v>334</v>
      </c>
    </row>
    <row r="3" ht="12.75" customHeight="1">
      <c r="E3" s="22" t="s">
        <v>211</v>
      </c>
    </row>
    <row r="4" spans="2:7" ht="13.5" customHeight="1">
      <c r="B4" s="23" t="s">
        <v>112</v>
      </c>
      <c r="C4" s="23" t="s">
        <v>19</v>
      </c>
      <c r="D4" s="23" t="s">
        <v>193</v>
      </c>
      <c r="E4" s="23" t="s">
        <v>193</v>
      </c>
      <c r="F4" s="23" t="s">
        <v>194</v>
      </c>
      <c r="G4" s="23" t="s">
        <v>194</v>
      </c>
    </row>
    <row r="5" spans="2:7" ht="12" customHeight="1">
      <c r="B5" s="19" t="s">
        <v>232</v>
      </c>
      <c r="C5" s="19" t="s">
        <v>195</v>
      </c>
      <c r="D5" s="24">
        <v>0</v>
      </c>
      <c r="E5" s="24">
        <v>0</v>
      </c>
      <c r="F5" s="24">
        <v>0</v>
      </c>
      <c r="G5" s="27">
        <v>1528567802.42</v>
      </c>
    </row>
    <row r="6" spans="2:7" ht="12" customHeight="1">
      <c r="B6" s="19" t="s">
        <v>219</v>
      </c>
      <c r="C6" s="19" t="s">
        <v>196</v>
      </c>
      <c r="D6" s="24">
        <v>0</v>
      </c>
      <c r="E6" s="24">
        <v>0</v>
      </c>
      <c r="F6" s="24">
        <v>0</v>
      </c>
      <c r="G6" s="27">
        <v>169499330.05</v>
      </c>
    </row>
    <row r="7" spans="2:7" ht="12" customHeight="1">
      <c r="B7" s="19" t="s">
        <v>287</v>
      </c>
      <c r="C7" s="19" t="s">
        <v>335</v>
      </c>
      <c r="D7" s="24">
        <v>0</v>
      </c>
      <c r="E7" s="24">
        <v>0</v>
      </c>
      <c r="F7" s="24">
        <v>0</v>
      </c>
      <c r="G7" s="27">
        <v>57152377</v>
      </c>
    </row>
    <row r="8" spans="2:7" ht="12" customHeight="1">
      <c r="B8" s="19" t="s">
        <v>291</v>
      </c>
      <c r="C8" s="19" t="s">
        <v>336</v>
      </c>
      <c r="D8" s="24">
        <v>0</v>
      </c>
      <c r="E8" s="24">
        <v>0</v>
      </c>
      <c r="F8" s="24">
        <v>0</v>
      </c>
      <c r="G8" s="27">
        <v>58618144.57</v>
      </c>
    </row>
    <row r="9" spans="2:7" ht="12" customHeight="1">
      <c r="B9" s="19" t="s">
        <v>293</v>
      </c>
      <c r="C9" s="19" t="s">
        <v>337</v>
      </c>
      <c r="D9" s="24">
        <v>0</v>
      </c>
      <c r="E9" s="24">
        <v>0</v>
      </c>
      <c r="F9" s="24">
        <v>0</v>
      </c>
      <c r="G9" s="27">
        <v>8234221</v>
      </c>
    </row>
    <row r="10" spans="2:7" ht="12" customHeight="1">
      <c r="B10" s="19" t="s">
        <v>294</v>
      </c>
      <c r="C10" s="19" t="s">
        <v>338</v>
      </c>
      <c r="D10" s="24">
        <v>0</v>
      </c>
      <c r="E10" s="24">
        <v>0</v>
      </c>
      <c r="F10" s="24">
        <v>0</v>
      </c>
      <c r="G10" s="27">
        <v>22655267.669999998</v>
      </c>
    </row>
    <row r="11" spans="2:7" ht="12" customHeight="1">
      <c r="B11" s="19" t="s">
        <v>339</v>
      </c>
      <c r="C11" s="19" t="s">
        <v>340</v>
      </c>
      <c r="D11" s="24">
        <v>0</v>
      </c>
      <c r="E11" s="24">
        <v>0</v>
      </c>
      <c r="F11" s="24">
        <v>0</v>
      </c>
      <c r="G11" s="27"/>
    </row>
    <row r="12" spans="2:7" ht="12" customHeight="1">
      <c r="B12" s="19" t="s">
        <v>324</v>
      </c>
      <c r="C12" s="19" t="s">
        <v>341</v>
      </c>
      <c r="D12" s="24">
        <v>0</v>
      </c>
      <c r="E12" s="24">
        <v>0</v>
      </c>
      <c r="F12" s="24">
        <v>0</v>
      </c>
      <c r="G12" s="27"/>
    </row>
    <row r="13" spans="2:7" ht="12" customHeight="1">
      <c r="B13" s="19" t="s">
        <v>342</v>
      </c>
      <c r="C13" s="19" t="s">
        <v>343</v>
      </c>
      <c r="D13" s="24">
        <v>0</v>
      </c>
      <c r="E13" s="24">
        <v>0</v>
      </c>
      <c r="F13" s="24">
        <v>0</v>
      </c>
      <c r="G13" s="27"/>
    </row>
    <row r="14" spans="2:7" ht="12" customHeight="1">
      <c r="B14" s="19" t="s">
        <v>344</v>
      </c>
      <c r="C14" s="19" t="s">
        <v>345</v>
      </c>
      <c r="D14" s="24">
        <v>0</v>
      </c>
      <c r="E14" s="24">
        <v>0</v>
      </c>
      <c r="F14" s="24">
        <v>0</v>
      </c>
      <c r="G14" s="27"/>
    </row>
    <row r="15" spans="2:7" ht="12" customHeight="1">
      <c r="B15" s="19" t="s">
        <v>346</v>
      </c>
      <c r="C15" s="19" t="s">
        <v>347</v>
      </c>
      <c r="D15" s="24">
        <v>0</v>
      </c>
      <c r="E15" s="24">
        <v>0</v>
      </c>
      <c r="F15" s="24">
        <v>0</v>
      </c>
      <c r="G15" s="27">
        <v>1173470476.1381817</v>
      </c>
    </row>
    <row r="16" spans="2:7" ht="12" customHeight="1">
      <c r="B16" s="19" t="s">
        <v>348</v>
      </c>
      <c r="C16" s="19" t="s">
        <v>349</v>
      </c>
      <c r="D16" s="24">
        <v>0</v>
      </c>
      <c r="E16" s="24">
        <v>0</v>
      </c>
      <c r="F16" s="24">
        <v>0</v>
      </c>
      <c r="G16" s="27">
        <v>42907128.28</v>
      </c>
    </row>
    <row r="17" spans="2:7" ht="12" customHeight="1">
      <c r="B17" s="19" t="s">
        <v>350</v>
      </c>
      <c r="C17" s="19" t="s">
        <v>351</v>
      </c>
      <c r="D17" s="24">
        <v>0</v>
      </c>
      <c r="E17" s="24">
        <v>0</v>
      </c>
      <c r="F17" s="24">
        <v>0</v>
      </c>
      <c r="G17" s="27">
        <v>1165816004.7259796</v>
      </c>
    </row>
    <row r="18" spans="2:7" ht="12" customHeight="1">
      <c r="B18" s="19" t="s">
        <v>352</v>
      </c>
      <c r="C18" s="19" t="s">
        <v>353</v>
      </c>
      <c r="D18" s="24">
        <v>0</v>
      </c>
      <c r="E18" s="24">
        <v>0</v>
      </c>
      <c r="F18" s="24">
        <v>0</v>
      </c>
      <c r="G18" s="27">
        <v>90538793.5</v>
      </c>
    </row>
    <row r="19" spans="2:7" ht="12" customHeight="1">
      <c r="B19" s="19" t="s">
        <v>354</v>
      </c>
      <c r="C19" s="19" t="s">
        <v>355</v>
      </c>
      <c r="D19" s="24">
        <v>0</v>
      </c>
      <c r="E19" s="24">
        <v>0</v>
      </c>
      <c r="F19" s="24">
        <v>0</v>
      </c>
      <c r="G19" s="27"/>
    </row>
    <row r="20" spans="2:7" ht="12" customHeight="1">
      <c r="B20" s="19" t="s">
        <v>356</v>
      </c>
      <c r="C20" s="19" t="s">
        <v>357</v>
      </c>
      <c r="D20" s="24">
        <v>0</v>
      </c>
      <c r="E20" s="24">
        <v>0</v>
      </c>
      <c r="F20" s="24">
        <v>0</v>
      </c>
      <c r="G20" s="27"/>
    </row>
    <row r="21" spans="2:7" ht="12" customHeight="1">
      <c r="B21" s="19" t="s">
        <v>358</v>
      </c>
      <c r="C21" s="19" t="s">
        <v>359</v>
      </c>
      <c r="D21" s="24">
        <v>0</v>
      </c>
      <c r="E21" s="24">
        <v>0</v>
      </c>
      <c r="F21" s="24">
        <v>0</v>
      </c>
      <c r="G21" s="27">
        <v>53734913.92</v>
      </c>
    </row>
    <row r="22" spans="2:7" ht="12" customHeight="1">
      <c r="B22" s="19" t="s">
        <v>360</v>
      </c>
      <c r="C22" s="19" t="s">
        <v>361</v>
      </c>
      <c r="D22" s="24">
        <v>0</v>
      </c>
      <c r="E22" s="24">
        <v>0</v>
      </c>
      <c r="F22" s="24">
        <v>0</v>
      </c>
      <c r="G22" s="27">
        <v>38417660.09</v>
      </c>
    </row>
    <row r="23" spans="2:7" ht="12" customHeight="1">
      <c r="B23" s="19" t="s">
        <v>362</v>
      </c>
      <c r="C23" s="19" t="s">
        <v>363</v>
      </c>
      <c r="D23" s="24">
        <v>0</v>
      </c>
      <c r="E23" s="24">
        <v>0</v>
      </c>
      <c r="F23" s="24">
        <v>0</v>
      </c>
      <c r="G23" s="27"/>
    </row>
    <row r="24" spans="2:7" ht="12" customHeight="1">
      <c r="B24" s="19" t="s">
        <v>364</v>
      </c>
      <c r="C24" s="19" t="s">
        <v>197</v>
      </c>
      <c r="D24" s="24">
        <v>0</v>
      </c>
      <c r="E24" s="24">
        <v>0</v>
      </c>
      <c r="F24" s="24">
        <v>0</v>
      </c>
      <c r="G24" s="27"/>
    </row>
    <row r="25" spans="2:7" ht="12" customHeight="1">
      <c r="B25" s="19" t="s">
        <v>365</v>
      </c>
      <c r="C25" s="19"/>
      <c r="D25" s="24">
        <v>0</v>
      </c>
      <c r="E25" s="27">
        <f>+'[13]15-21'!$F$161</f>
        <v>801019338</v>
      </c>
      <c r="F25" s="24">
        <v>0</v>
      </c>
      <c r="G25" s="27">
        <v>774348371.54</v>
      </c>
    </row>
    <row r="26" spans="2:7" ht="12" customHeight="1">
      <c r="B26" s="19" t="s">
        <v>209</v>
      </c>
      <c r="C26" s="25" t="s">
        <v>118</v>
      </c>
      <c r="D26" s="24">
        <v>0</v>
      </c>
      <c r="E26" s="24">
        <f>SUM(E5:E25)</f>
        <v>801019338</v>
      </c>
      <c r="F26" s="24">
        <v>0</v>
      </c>
      <c r="G26" s="27">
        <f>SUM(G5:G25)</f>
        <v>5183960490.904161</v>
      </c>
    </row>
    <row r="27" spans="1:120" ht="15"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</row>
    <row r="28" ht="15.75">
      <c r="B28" s="21"/>
    </row>
    <row r="29" ht="15.75">
      <c r="B29" s="21" t="s">
        <v>366</v>
      </c>
    </row>
    <row r="30" ht="12" customHeight="1">
      <c r="E30" s="22" t="s">
        <v>211</v>
      </c>
    </row>
    <row r="31" spans="2:5" ht="15">
      <c r="B31" s="23" t="s">
        <v>112</v>
      </c>
      <c r="C31" s="23" t="s">
        <v>19</v>
      </c>
      <c r="D31" s="37" t="s">
        <v>182</v>
      </c>
      <c r="E31" s="34" t="s">
        <v>182</v>
      </c>
    </row>
    <row r="32" spans="2:5" ht="12.75" customHeight="1">
      <c r="B32" s="19" t="s">
        <v>212</v>
      </c>
      <c r="C32" s="19" t="s">
        <v>198</v>
      </c>
      <c r="D32" s="24">
        <v>0</v>
      </c>
      <c r="E32" s="24"/>
    </row>
    <row r="33" spans="2:5" ht="12.75" customHeight="1">
      <c r="B33" s="19" t="s">
        <v>213</v>
      </c>
      <c r="C33" s="19" t="s">
        <v>367</v>
      </c>
      <c r="D33" s="24">
        <v>0</v>
      </c>
      <c r="E33" s="24">
        <v>0</v>
      </c>
    </row>
    <row r="34" spans="2:5" ht="12.75" customHeight="1">
      <c r="B34" s="19" t="s">
        <v>214</v>
      </c>
      <c r="C34" s="19" t="s">
        <v>199</v>
      </c>
      <c r="D34" s="24">
        <v>0</v>
      </c>
      <c r="E34" s="24">
        <v>0</v>
      </c>
    </row>
    <row r="35" spans="2:5" ht="12.75" customHeight="1">
      <c r="B35" s="19" t="s">
        <v>215</v>
      </c>
      <c r="C35" s="19"/>
      <c r="D35" s="24">
        <v>0</v>
      </c>
      <c r="E35" s="24">
        <f>+'[13]15-21'!$E$170</f>
        <v>434553795.09380907</v>
      </c>
    </row>
    <row r="36" spans="2:5" ht="12.75" customHeight="1">
      <c r="B36" s="19" t="s">
        <v>234</v>
      </c>
      <c r="C36" s="25" t="s">
        <v>118</v>
      </c>
      <c r="D36" s="24">
        <v>0</v>
      </c>
      <c r="E36" s="24">
        <v>0</v>
      </c>
    </row>
    <row r="37" spans="1:120" ht="15"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6"/>
      <c r="DH37" s="426"/>
      <c r="DI37" s="426"/>
      <c r="DJ37" s="426"/>
      <c r="DK37" s="426"/>
      <c r="DL37" s="426"/>
      <c r="DM37" s="426"/>
      <c r="DN37" s="426"/>
      <c r="DO37" s="426"/>
      <c r="DP37" s="426"/>
    </row>
    <row r="38" ht="13.5" customHeight="1">
      <c r="B38" s="21"/>
    </row>
    <row r="39" ht="15" customHeight="1">
      <c r="B39" s="21" t="s">
        <v>368</v>
      </c>
    </row>
    <row r="40" ht="13.5" customHeight="1">
      <c r="F40" s="22" t="s">
        <v>211</v>
      </c>
    </row>
    <row r="41" spans="2:6" ht="30">
      <c r="B41" s="23" t="s">
        <v>112</v>
      </c>
      <c r="C41" s="34" t="s">
        <v>19</v>
      </c>
      <c r="D41" s="34" t="s">
        <v>200</v>
      </c>
      <c r="E41" s="34" t="s">
        <v>182</v>
      </c>
      <c r="F41" s="34" t="s">
        <v>182</v>
      </c>
    </row>
    <row r="42" spans="2:6" ht="13.5" customHeight="1">
      <c r="B42" s="19" t="s">
        <v>232</v>
      </c>
      <c r="C42" s="19" t="s">
        <v>369</v>
      </c>
      <c r="D42" s="24">
        <v>0</v>
      </c>
      <c r="E42" s="24">
        <v>0</v>
      </c>
      <c r="F42" s="24">
        <f>+E25</f>
        <v>801019338</v>
      </c>
    </row>
    <row r="43" spans="2:6" ht="13.5" customHeight="1">
      <c r="B43" s="19" t="s">
        <v>219</v>
      </c>
      <c r="C43" s="19" t="s">
        <v>370</v>
      </c>
      <c r="D43" s="24">
        <v>0</v>
      </c>
      <c r="E43" s="24">
        <v>0</v>
      </c>
      <c r="F43" s="24">
        <f>+G25</f>
        <v>774348371.54</v>
      </c>
    </row>
    <row r="44" spans="2:6" ht="13.5" customHeight="1">
      <c r="B44" s="19" t="s">
        <v>287</v>
      </c>
      <c r="C44" s="19" t="s">
        <v>371</v>
      </c>
      <c r="D44" s="24">
        <v>0</v>
      </c>
      <c r="E44" s="24">
        <v>0</v>
      </c>
      <c r="F44" s="24">
        <v>0</v>
      </c>
    </row>
    <row r="45" spans="2:6" ht="13.5" customHeight="1">
      <c r="B45" s="19" t="s">
        <v>291</v>
      </c>
      <c r="C45" s="25" t="s">
        <v>118</v>
      </c>
      <c r="D45" s="24">
        <v>0</v>
      </c>
      <c r="E45" s="24">
        <v>0</v>
      </c>
      <c r="F45" s="24">
        <f>SUM(F42:F44)</f>
        <v>1575367709.54</v>
      </c>
    </row>
    <row r="46" spans="1:120" ht="15"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426"/>
      <c r="CJ46" s="426"/>
      <c r="CK46" s="426"/>
      <c r="CL46" s="426"/>
      <c r="CM46" s="426"/>
      <c r="CN46" s="426"/>
      <c r="CO46" s="426"/>
      <c r="CP46" s="426"/>
      <c r="CQ46" s="426"/>
      <c r="CR46" s="426"/>
      <c r="CS46" s="426"/>
      <c r="CT46" s="426"/>
      <c r="CU46" s="426"/>
      <c r="CV46" s="426"/>
      <c r="CW46" s="426"/>
      <c r="CX46" s="426"/>
      <c r="CY46" s="426"/>
      <c r="CZ46" s="426"/>
      <c r="DA46" s="426"/>
      <c r="DB46" s="426"/>
      <c r="DC46" s="426"/>
      <c r="DD46" s="426"/>
      <c r="DE46" s="426"/>
      <c r="DF46" s="426"/>
      <c r="DG46" s="426"/>
      <c r="DH46" s="426"/>
      <c r="DI46" s="426"/>
      <c r="DJ46" s="426"/>
      <c r="DK46" s="426"/>
      <c r="DL46" s="426"/>
      <c r="DM46" s="426"/>
      <c r="DN46" s="426"/>
      <c r="DO46" s="426"/>
      <c r="DP46" s="426"/>
    </row>
    <row r="47" ht="13.5" customHeight="1">
      <c r="B47" s="21"/>
    </row>
    <row r="48" ht="13.5" customHeight="1">
      <c r="B48" s="21" t="s">
        <v>372</v>
      </c>
    </row>
    <row r="49" ht="15" customHeight="1">
      <c r="E49" s="22" t="s">
        <v>211</v>
      </c>
    </row>
    <row r="50" spans="2:5" ht="17.25" customHeight="1">
      <c r="B50" s="23" t="s">
        <v>112</v>
      </c>
      <c r="C50" s="23" t="s">
        <v>19</v>
      </c>
      <c r="D50" s="34" t="s">
        <v>114</v>
      </c>
      <c r="E50" s="34" t="s">
        <v>121</v>
      </c>
    </row>
    <row r="51" spans="2:5" ht="12.75" customHeight="1">
      <c r="B51" s="19" t="s">
        <v>212</v>
      </c>
      <c r="C51" s="19" t="s">
        <v>201</v>
      </c>
      <c r="D51" s="27"/>
      <c r="E51" s="27">
        <f>+'income statement'!E26</f>
        <v>30674196.4101869</v>
      </c>
    </row>
    <row r="52" spans="2:5" ht="12.75" customHeight="1">
      <c r="B52" s="19" t="s">
        <v>213</v>
      </c>
      <c r="C52" s="19" t="s">
        <v>202</v>
      </c>
      <c r="D52" s="24">
        <v>0</v>
      </c>
      <c r="E52" s="27">
        <v>0</v>
      </c>
    </row>
    <row r="53" spans="2:5" ht="12.75" customHeight="1">
      <c r="B53" s="19" t="s">
        <v>214</v>
      </c>
      <c r="C53" s="25" t="s">
        <v>373</v>
      </c>
      <c r="D53" s="24">
        <v>0</v>
      </c>
      <c r="E53" s="27">
        <f>SUM(E51:E52)</f>
        <v>30674196.4101869</v>
      </c>
    </row>
    <row r="54" ht="15.75">
      <c r="B54" s="21" t="s">
        <v>216</v>
      </c>
    </row>
    <row r="55" ht="14.25" customHeight="1">
      <c r="B55" s="21"/>
    </row>
    <row r="56" ht="14.25" customHeight="1">
      <c r="B56" s="21" t="s">
        <v>374</v>
      </c>
    </row>
    <row r="57" spans="6:7" ht="15">
      <c r="F57" s="436" t="s">
        <v>211</v>
      </c>
      <c r="G57" s="436"/>
    </row>
    <row r="58" spans="2:7" ht="38.25">
      <c r="B58" s="23" t="s">
        <v>112</v>
      </c>
      <c r="C58" s="23" t="s">
        <v>19</v>
      </c>
      <c r="D58" s="36" t="s">
        <v>203</v>
      </c>
      <c r="E58" s="36" t="s">
        <v>204</v>
      </c>
      <c r="F58" s="36" t="s">
        <v>205</v>
      </c>
      <c r="G58" s="36" t="s">
        <v>375</v>
      </c>
    </row>
    <row r="59" spans="2:7" ht="10.5" customHeight="1">
      <c r="B59" s="19" t="s">
        <v>232</v>
      </c>
      <c r="C59" s="19" t="s">
        <v>206</v>
      </c>
      <c r="D59" s="24" t="s">
        <v>209</v>
      </c>
      <c r="E59" s="24" t="s">
        <v>209</v>
      </c>
      <c r="F59" s="24" t="s">
        <v>209</v>
      </c>
      <c r="G59" s="24" t="s">
        <v>209</v>
      </c>
    </row>
    <row r="60" spans="2:7" ht="10.5" customHeight="1">
      <c r="B60" s="19" t="s">
        <v>219</v>
      </c>
      <c r="C60" s="19" t="s">
        <v>207</v>
      </c>
      <c r="D60" s="24" t="s">
        <v>209</v>
      </c>
      <c r="E60" s="24" t="s">
        <v>209</v>
      </c>
      <c r="F60" s="24" t="s">
        <v>209</v>
      </c>
      <c r="G60" s="24" t="s">
        <v>209</v>
      </c>
    </row>
    <row r="61" spans="2:7" ht="10.5" customHeight="1">
      <c r="B61" s="19" t="s">
        <v>287</v>
      </c>
      <c r="C61" s="19" t="s">
        <v>208</v>
      </c>
      <c r="D61" s="24" t="s">
        <v>209</v>
      </c>
      <c r="E61" s="24" t="s">
        <v>209</v>
      </c>
      <c r="F61" s="24" t="s">
        <v>209</v>
      </c>
      <c r="G61" s="24" t="s">
        <v>209</v>
      </c>
    </row>
    <row r="62" spans="1:120" ht="15">
      <c r="BP62" s="426"/>
      <c r="BQ62" s="426"/>
      <c r="BR62" s="426"/>
      <c r="BS62" s="426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426"/>
      <c r="CJ62" s="426"/>
      <c r="CK62" s="426"/>
      <c r="CL62" s="426"/>
      <c r="CM62" s="426"/>
      <c r="CN62" s="426"/>
      <c r="CO62" s="426"/>
      <c r="CP62" s="426"/>
      <c r="CQ62" s="426"/>
      <c r="CR62" s="426"/>
      <c r="CS62" s="426"/>
      <c r="CT62" s="426"/>
      <c r="CU62" s="426"/>
      <c r="CV62" s="426"/>
      <c r="CW62" s="426"/>
      <c r="CX62" s="426"/>
      <c r="CY62" s="426"/>
      <c r="CZ62" s="426"/>
      <c r="DA62" s="426"/>
      <c r="DB62" s="426"/>
      <c r="DC62" s="426"/>
      <c r="DD62" s="426"/>
      <c r="DE62" s="426"/>
      <c r="DF62" s="426"/>
      <c r="DG62" s="426"/>
      <c r="DH62" s="426"/>
      <c r="DI62" s="426"/>
      <c r="DJ62" s="426"/>
      <c r="DK62" s="426"/>
      <c r="DL62" s="426"/>
      <c r="DM62" s="426"/>
      <c r="DN62" s="426"/>
      <c r="DO62" s="426"/>
      <c r="DP62" s="426"/>
    </row>
    <row r="63" ht="14.25" customHeight="1">
      <c r="B63" s="21"/>
    </row>
    <row r="64" ht="14.25" customHeight="1">
      <c r="B64" s="21" t="s">
        <v>376</v>
      </c>
    </row>
    <row r="65" ht="13.5" customHeight="1">
      <c r="E65" s="22" t="s">
        <v>211</v>
      </c>
    </row>
    <row r="66" spans="2:5" ht="15">
      <c r="B66" s="23" t="s">
        <v>112</v>
      </c>
      <c r="C66" s="23" t="s">
        <v>19</v>
      </c>
      <c r="D66" s="34" t="s">
        <v>114</v>
      </c>
      <c r="E66" s="34" t="s">
        <v>121</v>
      </c>
    </row>
    <row r="67" spans="2:5" ht="11.25" customHeight="1">
      <c r="B67" s="19" t="s">
        <v>232</v>
      </c>
      <c r="C67" s="19" t="s">
        <v>377</v>
      </c>
      <c r="D67" s="24">
        <v>0</v>
      </c>
      <c r="E67" s="24">
        <v>0</v>
      </c>
    </row>
    <row r="68" spans="2:5" ht="11.25" customHeight="1">
      <c r="B68" s="19" t="s">
        <v>219</v>
      </c>
      <c r="C68" s="19" t="s">
        <v>378</v>
      </c>
      <c r="D68" s="24">
        <v>0</v>
      </c>
      <c r="E68" s="24">
        <v>0</v>
      </c>
    </row>
    <row r="69" spans="2:5" ht="11.25" customHeight="1">
      <c r="B69" s="19" t="s">
        <v>287</v>
      </c>
      <c r="C69" s="19" t="s">
        <v>379</v>
      </c>
      <c r="D69" s="24">
        <v>0</v>
      </c>
      <c r="E69" s="24">
        <v>0</v>
      </c>
    </row>
    <row r="70" spans="2:5" ht="11.25" customHeight="1">
      <c r="B70" s="19" t="s">
        <v>291</v>
      </c>
      <c r="C70" s="19" t="s">
        <v>380</v>
      </c>
      <c r="D70" s="24">
        <v>0</v>
      </c>
      <c r="E70" s="24">
        <v>0</v>
      </c>
    </row>
    <row r="71" spans="2:5" ht="11.25" customHeight="1">
      <c r="B71" s="19" t="s">
        <v>293</v>
      </c>
      <c r="C71" s="19" t="s">
        <v>381</v>
      </c>
      <c r="D71" s="24">
        <v>0</v>
      </c>
      <c r="E71" s="24">
        <v>0</v>
      </c>
    </row>
    <row r="72" spans="2:5" ht="11.25" customHeight="1">
      <c r="B72" s="19" t="s">
        <v>294</v>
      </c>
      <c r="C72" s="25" t="s">
        <v>118</v>
      </c>
      <c r="D72" s="24">
        <v>0</v>
      </c>
      <c r="E72" s="24">
        <v>0</v>
      </c>
    </row>
    <row r="73" ht="15.75">
      <c r="B73" s="21" t="s">
        <v>216</v>
      </c>
    </row>
    <row r="74" ht="13.5" customHeight="1">
      <c r="B74" s="21"/>
    </row>
    <row r="75" ht="13.5" customHeight="1">
      <c r="B75" s="21" t="s">
        <v>382</v>
      </c>
    </row>
    <row r="76" ht="13.5" customHeight="1">
      <c r="F76" s="22" t="s">
        <v>211</v>
      </c>
    </row>
    <row r="77" spans="2:6" ht="30">
      <c r="B77" s="23" t="s">
        <v>112</v>
      </c>
      <c r="C77" s="23" t="s">
        <v>19</v>
      </c>
      <c r="D77" s="34" t="s">
        <v>383</v>
      </c>
      <c r="E77" s="34" t="s">
        <v>384</v>
      </c>
      <c r="F77" s="34" t="s">
        <v>375</v>
      </c>
    </row>
    <row r="78" spans="2:6" ht="15">
      <c r="B78" s="19" t="s">
        <v>212</v>
      </c>
      <c r="C78" s="19" t="s">
        <v>209</v>
      </c>
      <c r="D78" s="24" t="s">
        <v>209</v>
      </c>
      <c r="E78" s="24" t="s">
        <v>209</v>
      </c>
      <c r="F78" s="24" t="s">
        <v>209</v>
      </c>
    </row>
    <row r="79" spans="1:120" ht="15">
      <c r="BP79" s="426"/>
      <c r="BQ79" s="426"/>
      <c r="BR79" s="426"/>
      <c r="BS79" s="426"/>
      <c r="BT79" s="426"/>
      <c r="BU79" s="426"/>
      <c r="BV79" s="426"/>
      <c r="BW79" s="426"/>
      <c r="BX79" s="426"/>
      <c r="BY79" s="426"/>
      <c r="BZ79" s="426"/>
      <c r="CA79" s="426"/>
      <c r="CB79" s="426"/>
      <c r="CC79" s="426"/>
      <c r="CD79" s="426"/>
      <c r="CE79" s="426"/>
      <c r="CF79" s="426"/>
      <c r="CG79" s="426"/>
      <c r="CH79" s="426"/>
      <c r="CI79" s="426"/>
      <c r="CJ79" s="426"/>
      <c r="CK79" s="426"/>
      <c r="CL79" s="426"/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6"/>
      <c r="DB79" s="426"/>
      <c r="DC79" s="426"/>
      <c r="DD79" s="426"/>
      <c r="DE79" s="426"/>
      <c r="DF79" s="426"/>
      <c r="DG79" s="426"/>
      <c r="DH79" s="426"/>
      <c r="DI79" s="426"/>
      <c r="DJ79" s="426"/>
      <c r="DK79" s="426"/>
      <c r="DL79" s="426"/>
      <c r="DM79" s="426"/>
      <c r="DN79" s="426"/>
      <c r="DO79" s="426"/>
      <c r="DP79" s="426"/>
    </row>
    <row r="80" ht="15">
      <c r="C80" t="s">
        <v>420</v>
      </c>
    </row>
    <row r="81" ht="15">
      <c r="C81" t="s">
        <v>419</v>
      </c>
    </row>
  </sheetData>
  <sheetProtection/>
  <mergeCells count="6">
    <mergeCell ref="BP79:DP79"/>
    <mergeCell ref="F57:G57"/>
    <mergeCell ref="BP27:DP27"/>
    <mergeCell ref="BP37:DP37"/>
    <mergeCell ref="BP46:DP46"/>
    <mergeCell ref="BP62:DP62"/>
  </mergeCells>
  <printOptions/>
  <pageMargins left="0.7086614173228347" right="0" top="0" bottom="0" header="0.31496062992125984" footer="0.31496062992125984"/>
  <pageSetup horizontalDpi="600" verticalDpi="600" orientation="portrait" paperSize="9" scale="7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P37"/>
  <sheetViews>
    <sheetView zoomScalePageLayoutView="0" workbookViewId="0" topLeftCell="A19">
      <selection activeCell="K44" sqref="J44:K44"/>
    </sheetView>
  </sheetViews>
  <sheetFormatPr defaultColWidth="8.8515625" defaultRowHeight="15"/>
  <cols>
    <col min="1" max="2" width="4.421875" style="0" customWidth="1"/>
    <col min="3" max="3" width="32.00390625" style="0" customWidth="1"/>
    <col min="4" max="4" width="8.421875" style="0" customWidth="1"/>
    <col min="5" max="5" width="10.421875" style="0" customWidth="1"/>
    <col min="6" max="6" width="11.8515625" style="0" customWidth="1"/>
    <col min="7" max="7" width="9.421875" style="0" customWidth="1"/>
    <col min="8" max="8" width="7.8515625" style="0" customWidth="1"/>
    <col min="9" max="9" width="11.00390625" style="0" customWidth="1"/>
    <col min="10" max="10" width="8.28125" style="0" customWidth="1"/>
    <col min="11" max="11" width="9.140625" style="0" customWidth="1"/>
    <col min="12" max="13" width="8.8515625" style="0" customWidth="1"/>
    <col min="14" max="14" width="9.8515625" style="0" customWidth="1"/>
    <col min="15" max="15" width="11.00390625" style="0" customWidth="1"/>
    <col min="16" max="21" width="17.421875" style="0" customWidth="1"/>
  </cols>
  <sheetData>
    <row r="1" ht="15.75">
      <c r="B1" s="21"/>
    </row>
    <row r="2" ht="15.75">
      <c r="B2" s="21" t="s">
        <v>385</v>
      </c>
    </row>
    <row r="3" ht="30">
      <c r="O3" s="22" t="s">
        <v>211</v>
      </c>
    </row>
    <row r="4" spans="2:15" ht="48.75" customHeight="1">
      <c r="B4" s="23" t="s">
        <v>112</v>
      </c>
      <c r="C4" s="23" t="s">
        <v>19</v>
      </c>
      <c r="D4" s="36" t="s">
        <v>121</v>
      </c>
      <c r="E4" s="36" t="s">
        <v>386</v>
      </c>
      <c r="F4" s="36" t="s">
        <v>387</v>
      </c>
      <c r="G4" s="36" t="s">
        <v>388</v>
      </c>
      <c r="H4" s="36" t="s">
        <v>389</v>
      </c>
      <c r="I4" s="36" t="s">
        <v>390</v>
      </c>
      <c r="J4" s="36" t="s">
        <v>391</v>
      </c>
      <c r="K4" s="36" t="s">
        <v>392</v>
      </c>
      <c r="L4" s="36" t="s">
        <v>393</v>
      </c>
      <c r="M4" s="36" t="s">
        <v>394</v>
      </c>
      <c r="N4" s="36" t="s">
        <v>384</v>
      </c>
      <c r="O4" s="36" t="s">
        <v>121</v>
      </c>
    </row>
    <row r="5" spans="2:15" ht="15">
      <c r="B5" s="19" t="s">
        <v>209</v>
      </c>
      <c r="C5" s="25" t="s">
        <v>395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</row>
    <row r="6" spans="2:15" ht="14.25" customHeight="1">
      <c r="B6" s="19" t="s">
        <v>239</v>
      </c>
      <c r="C6" s="19" t="s">
        <v>138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</row>
    <row r="7" spans="2:15" ht="14.25" customHeight="1">
      <c r="B7" s="19" t="s">
        <v>240</v>
      </c>
      <c r="C7" s="19" t="s">
        <v>238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spans="2:15" ht="14.25" customHeight="1">
      <c r="B8" s="19" t="s">
        <v>241</v>
      </c>
      <c r="C8" s="19" t="s">
        <v>396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</row>
    <row r="9" spans="2:15" ht="14.25" customHeight="1">
      <c r="B9" s="19" t="s">
        <v>242</v>
      </c>
      <c r="C9" s="19" t="s">
        <v>397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2:15" ht="14.25" customHeight="1">
      <c r="B10" s="19" t="s">
        <v>245</v>
      </c>
      <c r="C10" s="19" t="s">
        <v>398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2:15" ht="14.25" customHeight="1">
      <c r="B11" s="19" t="s">
        <v>249</v>
      </c>
      <c r="C11" s="19" t="s">
        <v>139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</row>
    <row r="12" spans="2:15" ht="14.25" customHeight="1">
      <c r="B12" s="19" t="s">
        <v>250</v>
      </c>
      <c r="C12" s="19" t="s">
        <v>140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</row>
    <row r="13" spans="2:15" ht="14.25" customHeight="1">
      <c r="B13" s="19" t="s">
        <v>251</v>
      </c>
      <c r="C13" s="19" t="s">
        <v>141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</row>
    <row r="14" spans="2:15" ht="14.25" customHeight="1">
      <c r="B14" s="19" t="s">
        <v>399</v>
      </c>
      <c r="C14" s="19" t="s">
        <v>6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</row>
    <row r="15" spans="2:15" ht="14.25" customHeight="1">
      <c r="B15" s="19" t="s">
        <v>400</v>
      </c>
      <c r="C15" s="19" t="s">
        <v>401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2:15" ht="14.25" customHeight="1">
      <c r="B16" s="19" t="s">
        <v>402</v>
      </c>
      <c r="C16" s="19" t="s">
        <v>403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2:15" ht="14.25" customHeight="1">
      <c r="B17" s="19" t="s">
        <v>404</v>
      </c>
      <c r="C17" s="25" t="s">
        <v>405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2:15" ht="14.25" customHeight="1">
      <c r="B18" s="19" t="s">
        <v>209</v>
      </c>
      <c r="C18" s="25" t="s">
        <v>406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" ht="14.25" customHeight="1">
      <c r="B19" s="19" t="s">
        <v>252</v>
      </c>
      <c r="C19" s="19" t="s">
        <v>153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</row>
    <row r="20" spans="2:15" ht="14.25" customHeight="1">
      <c r="B20" s="19" t="s">
        <v>253</v>
      </c>
      <c r="C20" s="19" t="s">
        <v>154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2:15" ht="14.25" customHeight="1">
      <c r="B21" s="19" t="s">
        <v>254</v>
      </c>
      <c r="C21" s="19" t="s">
        <v>407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2:15" ht="14.25" customHeight="1">
      <c r="B22" s="19" t="s">
        <v>255</v>
      </c>
      <c r="C22" s="19" t="s">
        <v>408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</row>
    <row r="23" spans="2:15" ht="14.25" customHeight="1">
      <c r="B23" s="19" t="s">
        <v>258</v>
      </c>
      <c r="C23" s="19" t="s">
        <v>155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2:15" ht="14.25" customHeight="1">
      <c r="B24" s="19" t="s">
        <v>263</v>
      </c>
      <c r="C24" s="19" t="s">
        <v>156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</row>
    <row r="25" spans="2:15" ht="14.25" customHeight="1">
      <c r="B25" s="19" t="s">
        <v>409</v>
      </c>
      <c r="C25" s="19" t="s">
        <v>157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  <row r="26" spans="2:15" ht="14.25" customHeight="1">
      <c r="B26" s="19" t="s">
        <v>410</v>
      </c>
      <c r="C26" s="19" t="s">
        <v>272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</row>
    <row r="27" spans="2:15" ht="14.25" customHeight="1">
      <c r="B27" s="19" t="s">
        <v>411</v>
      </c>
      <c r="C27" s="19" t="s">
        <v>158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</row>
    <row r="28" spans="2:15" ht="14.25" customHeight="1">
      <c r="B28" s="19" t="s">
        <v>412</v>
      </c>
      <c r="C28" s="19" t="s">
        <v>413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</row>
    <row r="29" spans="2:15" ht="14.25" customHeight="1">
      <c r="B29" s="19" t="s">
        <v>414</v>
      </c>
      <c r="C29" s="25" t="s">
        <v>415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  <row r="30" spans="2:15" ht="14.25" customHeight="1">
      <c r="B30" s="19" t="s">
        <v>214</v>
      </c>
      <c r="C30" s="25" t="s">
        <v>416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</row>
    <row r="31" spans="2:15" ht="14.25" customHeight="1">
      <c r="B31" s="19" t="s">
        <v>221</v>
      </c>
      <c r="C31" s="19" t="s">
        <v>417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</row>
    <row r="32" spans="2:15" ht="14.25" customHeight="1">
      <c r="B32" s="19" t="s">
        <v>223</v>
      </c>
      <c r="C32" s="19" t="s">
        <v>5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</row>
    <row r="33" spans="2:15" ht="14.25" customHeight="1">
      <c r="B33" s="19" t="s">
        <v>215</v>
      </c>
      <c r="C33" s="25" t="s">
        <v>118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</row>
    <row r="34" spans="1:120" ht="14.25" customHeight="1"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  <c r="CH34" s="426"/>
      <c r="CI34" s="426"/>
      <c r="CJ34" s="426"/>
      <c r="CK34" s="426"/>
      <c r="CL34" s="426"/>
      <c r="CM34" s="426"/>
      <c r="CN34" s="426"/>
      <c r="CO34" s="426"/>
      <c r="CP34" s="426"/>
      <c r="CQ34" s="426"/>
      <c r="CR34" s="426"/>
      <c r="CS34" s="426"/>
      <c r="CT34" s="426"/>
      <c r="CU34" s="426"/>
      <c r="CV34" s="426"/>
      <c r="CW34" s="426"/>
      <c r="CX34" s="426"/>
      <c r="CY34" s="426"/>
      <c r="CZ34" s="426"/>
      <c r="DA34" s="426"/>
      <c r="DB34" s="426"/>
      <c r="DC34" s="426"/>
      <c r="DD34" s="426"/>
      <c r="DE34" s="426"/>
      <c r="DF34" s="426"/>
      <c r="DG34" s="426"/>
      <c r="DH34" s="426"/>
      <c r="DI34" s="426"/>
      <c r="DJ34" s="426"/>
      <c r="DK34" s="426"/>
      <c r="DL34" s="426"/>
      <c r="DM34" s="426"/>
      <c r="DN34" s="426"/>
      <c r="DO34" s="426"/>
      <c r="DP34" s="426"/>
    </row>
    <row r="35" ht="15">
      <c r="E35" s="18" t="s">
        <v>418</v>
      </c>
    </row>
    <row r="36" ht="15">
      <c r="E36" s="18"/>
    </row>
    <row r="37" ht="15">
      <c r="E37" s="18" t="s">
        <v>419</v>
      </c>
    </row>
  </sheetData>
  <sheetProtection/>
  <mergeCells count="1">
    <mergeCell ref="BP34:DP34"/>
  </mergeCells>
  <printOptions/>
  <pageMargins left="0" right="0" top="0.7480314960629921" bottom="0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1:DN35"/>
  <sheetViews>
    <sheetView zoomScale="89" zoomScaleNormal="89" zoomScalePageLayoutView="0" workbookViewId="0" topLeftCell="F1">
      <selection activeCell="M30" sqref="M30"/>
    </sheetView>
  </sheetViews>
  <sheetFormatPr defaultColWidth="9.140625" defaultRowHeight="15"/>
  <cols>
    <col min="1" max="1" width="11.421875" style="288" customWidth="1"/>
    <col min="2" max="2" width="8.8515625" style="322" customWidth="1"/>
    <col min="3" max="3" width="33.140625" style="322" customWidth="1"/>
    <col min="4" max="4" width="22.28125" style="323" customWidth="1"/>
    <col min="5" max="5" width="21.00390625" style="323" customWidth="1"/>
    <col min="6" max="6" width="16.8515625" style="323" customWidth="1"/>
    <col min="7" max="7" width="24.28125" style="323" customWidth="1"/>
    <col min="8" max="8" width="14.7109375" style="323" hidden="1" customWidth="1"/>
    <col min="9" max="9" width="26.421875" style="323" customWidth="1"/>
    <col min="10" max="10" width="25.140625" style="323" customWidth="1"/>
    <col min="11" max="11" width="21.7109375" style="323" customWidth="1"/>
    <col min="12" max="12" width="19.140625" style="322" customWidth="1"/>
    <col min="13" max="13" width="20.57421875" style="322" customWidth="1"/>
    <col min="14" max="14" width="31.8515625" style="288" customWidth="1"/>
    <col min="15" max="19" width="17.421875" style="288" customWidth="1"/>
    <col min="20" max="16384" width="11.421875" style="288" customWidth="1"/>
  </cols>
  <sheetData>
    <row r="1" ht="15">
      <c r="C1" s="321"/>
    </row>
    <row r="2" spans="3:13" ht="15.75" customHeight="1">
      <c r="C2" s="321"/>
      <c r="L2" s="324"/>
      <c r="M2" s="324"/>
    </row>
    <row r="3" spans="2:20" ht="15.75">
      <c r="B3" s="21" t="s">
        <v>813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</row>
    <row r="4" spans="2:20" ht="15.75">
      <c r="B4" s="291"/>
      <c r="C4" s="291"/>
      <c r="D4" s="291"/>
      <c r="E4" s="291"/>
      <c r="F4" s="291"/>
      <c r="G4" s="291"/>
      <c r="H4" s="291"/>
      <c r="I4" s="291"/>
      <c r="J4" s="291"/>
      <c r="L4" s="291"/>
      <c r="M4" s="22" t="s">
        <v>664</v>
      </c>
      <c r="N4" s="291"/>
      <c r="O4" s="291"/>
      <c r="P4" s="291"/>
      <c r="Q4" s="291"/>
      <c r="R4" s="291"/>
      <c r="S4" s="291"/>
      <c r="T4" s="291"/>
    </row>
    <row r="5" spans="2:13" ht="60">
      <c r="B5" s="68" t="s">
        <v>112</v>
      </c>
      <c r="C5" s="68" t="s">
        <v>665</v>
      </c>
      <c r="D5" s="68" t="s">
        <v>814</v>
      </c>
      <c r="E5" s="310" t="s">
        <v>753</v>
      </c>
      <c r="F5" s="68" t="s">
        <v>754</v>
      </c>
      <c r="G5" s="68" t="s">
        <v>755</v>
      </c>
      <c r="H5" s="68" t="s">
        <v>756</v>
      </c>
      <c r="I5" s="68" t="s">
        <v>757</v>
      </c>
      <c r="J5" s="68" t="s">
        <v>815</v>
      </c>
      <c r="K5" s="68" t="s">
        <v>816</v>
      </c>
      <c r="L5" s="68" t="s">
        <v>807</v>
      </c>
      <c r="M5" s="68" t="s">
        <v>816</v>
      </c>
    </row>
    <row r="6" spans="2:13" s="289" customFormat="1" ht="16.5" customHeight="1" hidden="1">
      <c r="B6" s="364">
        <v>1</v>
      </c>
      <c r="C6" s="365" t="s">
        <v>486</v>
      </c>
      <c r="D6" s="366">
        <v>5226943985</v>
      </c>
      <c r="E6" s="366">
        <v>-16428492</v>
      </c>
      <c r="F6" s="366">
        <v>-106648583</v>
      </c>
      <c r="G6" s="366">
        <v>19334524504</v>
      </c>
      <c r="H6" s="366">
        <v>0</v>
      </c>
      <c r="I6" s="366">
        <v>3712045049</v>
      </c>
      <c r="J6" s="366">
        <f>14784506720.8</f>
        <v>14784506720.8</v>
      </c>
      <c r="K6" s="366">
        <f>SUM(D6:J6)</f>
        <v>42934943183.8</v>
      </c>
      <c r="L6" s="367">
        <v>299575620.74999577</v>
      </c>
      <c r="M6" s="367">
        <f>+K6+L6</f>
        <v>43234518804.549995</v>
      </c>
    </row>
    <row r="7" spans="2:13" ht="51" customHeight="1" hidden="1">
      <c r="B7" s="364">
        <v>2</v>
      </c>
      <c r="C7" s="368" t="s">
        <v>478</v>
      </c>
      <c r="D7" s="366">
        <v>0</v>
      </c>
      <c r="E7" s="366">
        <v>0</v>
      </c>
      <c r="F7" s="366">
        <v>0</v>
      </c>
      <c r="G7" s="366">
        <v>0</v>
      </c>
      <c r="H7" s="366">
        <v>0</v>
      </c>
      <c r="I7" s="366">
        <v>0</v>
      </c>
      <c r="J7" s="366"/>
      <c r="K7" s="366">
        <f aca="true" t="shared" si="0" ref="K7:K13">SUM(D7:J7)</f>
        <v>0</v>
      </c>
      <c r="L7" s="369"/>
      <c r="M7" s="370">
        <f aca="true" t="shared" si="1" ref="M7:M21">+K7+L7</f>
        <v>0</v>
      </c>
    </row>
    <row r="8" spans="2:13" ht="16.5" customHeight="1" hidden="1">
      <c r="B8" s="364">
        <v>3</v>
      </c>
      <c r="C8" s="365" t="s">
        <v>462</v>
      </c>
      <c r="D8" s="366">
        <f aca="true" t="shared" si="2" ref="D8:J8">+D6</f>
        <v>5226943985</v>
      </c>
      <c r="E8" s="366">
        <f t="shared" si="2"/>
        <v>-16428492</v>
      </c>
      <c r="F8" s="366">
        <f t="shared" si="2"/>
        <v>-106648583</v>
      </c>
      <c r="G8" s="366">
        <f t="shared" si="2"/>
        <v>19334524504</v>
      </c>
      <c r="H8" s="366">
        <f t="shared" si="2"/>
        <v>0</v>
      </c>
      <c r="I8" s="366">
        <f t="shared" si="2"/>
        <v>3712045049</v>
      </c>
      <c r="J8" s="366">
        <f t="shared" si="2"/>
        <v>14784506720.8</v>
      </c>
      <c r="K8" s="366">
        <f>SUM(K6:K7)</f>
        <v>42934943183.8</v>
      </c>
      <c r="L8" s="366">
        <f>SUM(L6:L7)</f>
        <v>299575620.74999577</v>
      </c>
      <c r="M8" s="366">
        <f>SUM(M6:M7)</f>
        <v>43234518804.549995</v>
      </c>
    </row>
    <row r="9" spans="2:13" ht="16.5" customHeight="1" hidden="1">
      <c r="B9" s="364">
        <v>4</v>
      </c>
      <c r="C9" s="368" t="s">
        <v>22</v>
      </c>
      <c r="D9" s="366">
        <v>0</v>
      </c>
      <c r="E9" s="366">
        <v>0</v>
      </c>
      <c r="F9" s="366">
        <v>0</v>
      </c>
      <c r="G9" s="366">
        <v>0</v>
      </c>
      <c r="H9" s="366">
        <v>0</v>
      </c>
      <c r="I9" s="366">
        <v>0</v>
      </c>
      <c r="J9" s="366">
        <v>0</v>
      </c>
      <c r="K9" s="366">
        <f t="shared" si="0"/>
        <v>0</v>
      </c>
      <c r="L9" s="369">
        <v>1051075288.1636418</v>
      </c>
      <c r="M9" s="370">
        <f t="shared" si="1"/>
        <v>1051075288.1636418</v>
      </c>
    </row>
    <row r="10" spans="2:13" ht="16.5" customHeight="1" hidden="1">
      <c r="B10" s="364">
        <v>5</v>
      </c>
      <c r="C10" s="368" t="s">
        <v>23</v>
      </c>
      <c r="D10" s="366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66">
        <v>0</v>
      </c>
      <c r="K10" s="366">
        <f t="shared" si="0"/>
        <v>0</v>
      </c>
      <c r="L10" s="369"/>
      <c r="M10" s="370">
        <f t="shared" si="1"/>
        <v>0</v>
      </c>
    </row>
    <row r="11" spans="2:13" ht="16.5" customHeight="1" hidden="1">
      <c r="B11" s="364">
        <v>6</v>
      </c>
      <c r="C11" s="368" t="s">
        <v>479</v>
      </c>
      <c r="D11" s="366">
        <v>33000000</v>
      </c>
      <c r="E11" s="366"/>
      <c r="F11" s="366">
        <v>0</v>
      </c>
      <c r="G11" s="366">
        <v>100</v>
      </c>
      <c r="H11" s="366">
        <v>0</v>
      </c>
      <c r="I11" s="366">
        <v>-9124871</v>
      </c>
      <c r="J11" s="366">
        <v>457887674.2</v>
      </c>
      <c r="K11" s="366">
        <f t="shared" si="0"/>
        <v>481762903.2</v>
      </c>
      <c r="L11" s="369"/>
      <c r="M11" s="370">
        <f t="shared" si="1"/>
        <v>481762903.2</v>
      </c>
    </row>
    <row r="12" spans="2:13" ht="16.5" customHeight="1" hidden="1">
      <c r="B12" s="364">
        <v>7</v>
      </c>
      <c r="C12" s="368" t="s">
        <v>480</v>
      </c>
      <c r="D12" s="366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66">
        <v>0</v>
      </c>
      <c r="K12" s="366">
        <f t="shared" si="0"/>
        <v>0</v>
      </c>
      <c r="L12" s="369"/>
      <c r="M12" s="370">
        <f t="shared" si="1"/>
        <v>0</v>
      </c>
    </row>
    <row r="13" spans="2:13" ht="33.75" customHeight="1" hidden="1">
      <c r="B13" s="364">
        <v>8</v>
      </c>
      <c r="C13" s="368" t="s">
        <v>113</v>
      </c>
      <c r="D13" s="366">
        <v>0</v>
      </c>
      <c r="E13" s="366">
        <v>0</v>
      </c>
      <c r="F13" s="366">
        <v>0</v>
      </c>
      <c r="G13" s="366">
        <v>0</v>
      </c>
      <c r="H13" s="366">
        <v>0</v>
      </c>
      <c r="I13" s="366">
        <v>0</v>
      </c>
      <c r="J13" s="366">
        <v>0</v>
      </c>
      <c r="K13" s="366">
        <f t="shared" si="0"/>
        <v>0</v>
      </c>
      <c r="L13" s="369"/>
      <c r="M13" s="370">
        <f t="shared" si="1"/>
        <v>0</v>
      </c>
    </row>
    <row r="14" spans="2:13" ht="15">
      <c r="B14" s="364">
        <v>8</v>
      </c>
      <c r="C14" s="371" t="s">
        <v>817</v>
      </c>
      <c r="D14" s="366">
        <f aca="true" t="shared" si="3" ref="D14:L14">SUM(D8:D13)</f>
        <v>5259943985</v>
      </c>
      <c r="E14" s="366">
        <f t="shared" si="3"/>
        <v>-16428492</v>
      </c>
      <c r="F14" s="366">
        <f t="shared" si="3"/>
        <v>-106648583</v>
      </c>
      <c r="G14" s="366">
        <f t="shared" si="3"/>
        <v>19334524604</v>
      </c>
      <c r="H14" s="366">
        <f t="shared" si="3"/>
        <v>0</v>
      </c>
      <c r="I14" s="366">
        <f t="shared" si="3"/>
        <v>3702920178</v>
      </c>
      <c r="J14" s="366">
        <f t="shared" si="3"/>
        <v>15242394395</v>
      </c>
      <c r="K14" s="366">
        <f t="shared" si="3"/>
        <v>43416706087</v>
      </c>
      <c r="L14" s="366">
        <f t="shared" si="3"/>
        <v>1350650908.9136376</v>
      </c>
      <c r="M14" s="367">
        <f t="shared" si="1"/>
        <v>44767356995.913635</v>
      </c>
    </row>
    <row r="15" spans="2:13" ht="30">
      <c r="B15" s="364">
        <v>1</v>
      </c>
      <c r="C15" s="69" t="s">
        <v>818</v>
      </c>
      <c r="D15" s="366">
        <v>-1506369085</v>
      </c>
      <c r="E15" s="372">
        <v>0</v>
      </c>
      <c r="F15" s="372">
        <v>0</v>
      </c>
      <c r="G15" s="372">
        <v>0</v>
      </c>
      <c r="H15" s="366">
        <v>0</v>
      </c>
      <c r="I15" s="366">
        <v>616202328.5299997</v>
      </c>
      <c r="J15" s="366">
        <f>-2166473774.84-0.26</f>
        <v>-2166473775.1000004</v>
      </c>
      <c r="K15" s="366">
        <f>SUM(D15:J15)</f>
        <v>-3056640531.5700006</v>
      </c>
      <c r="L15" s="373">
        <v>0</v>
      </c>
      <c r="M15" s="367">
        <f t="shared" si="1"/>
        <v>-3056640531.5700006</v>
      </c>
    </row>
    <row r="16" spans="2:13" ht="19.5" customHeight="1">
      <c r="B16" s="364">
        <v>2</v>
      </c>
      <c r="C16" s="70" t="s">
        <v>819</v>
      </c>
      <c r="D16" s="366">
        <f>+D14+D15</f>
        <v>3753574900</v>
      </c>
      <c r="E16" s="366">
        <f aca="true" t="shared" si="4" ref="E16:L16">+E14+E15</f>
        <v>-16428492</v>
      </c>
      <c r="F16" s="366">
        <f t="shared" si="4"/>
        <v>-106648583</v>
      </c>
      <c r="G16" s="366">
        <f t="shared" si="4"/>
        <v>19334524604</v>
      </c>
      <c r="H16" s="366">
        <f t="shared" si="4"/>
        <v>0</v>
      </c>
      <c r="I16" s="366">
        <f t="shared" si="4"/>
        <v>4319122506.53</v>
      </c>
      <c r="J16" s="366">
        <f t="shared" si="4"/>
        <v>13075920619.9</v>
      </c>
      <c r="K16" s="366">
        <f t="shared" si="4"/>
        <v>40360065555.43</v>
      </c>
      <c r="L16" s="366">
        <f t="shared" si="4"/>
        <v>1350650908.9136376</v>
      </c>
      <c r="M16" s="367">
        <f t="shared" si="1"/>
        <v>41710716464.343636</v>
      </c>
    </row>
    <row r="17" spans="2:13" ht="15">
      <c r="B17" s="364">
        <v>3</v>
      </c>
      <c r="C17" s="69" t="s">
        <v>820</v>
      </c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4">
        <f>+'[7]ct02'!H33</f>
        <v>2327633412.710001</v>
      </c>
      <c r="M17" s="370">
        <f t="shared" si="1"/>
        <v>2327633412.710001</v>
      </c>
    </row>
    <row r="18" spans="2:13" ht="15">
      <c r="B18" s="364">
        <v>4</v>
      </c>
      <c r="C18" s="69" t="s">
        <v>808</v>
      </c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3">
        <v>0</v>
      </c>
      <c r="M18" s="370">
        <f t="shared" si="1"/>
        <v>0</v>
      </c>
    </row>
    <row r="19" spans="2:13" ht="15">
      <c r="B19" s="364">
        <v>5</v>
      </c>
      <c r="C19" s="69" t="s">
        <v>821</v>
      </c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3">
        <v>0</v>
      </c>
      <c r="M19" s="370">
        <f t="shared" si="1"/>
        <v>0</v>
      </c>
    </row>
    <row r="20" spans="2:13" ht="15">
      <c r="B20" s="364">
        <v>6</v>
      </c>
      <c r="C20" s="311" t="s">
        <v>822</v>
      </c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3">
        <v>0</v>
      </c>
      <c r="M20" s="370">
        <f t="shared" si="1"/>
        <v>0</v>
      </c>
    </row>
    <row r="21" spans="2:13" ht="15">
      <c r="B21" s="364">
        <v>7</v>
      </c>
      <c r="C21" s="311" t="s">
        <v>823</v>
      </c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3">
        <v>0</v>
      </c>
      <c r="M21" s="367">
        <f t="shared" si="1"/>
        <v>0</v>
      </c>
    </row>
    <row r="22" spans="2:13" ht="15">
      <c r="B22" s="364">
        <v>8</v>
      </c>
      <c r="C22" s="371" t="s">
        <v>824</v>
      </c>
      <c r="D22" s="366">
        <f aca="true" t="shared" si="5" ref="D22:I22">SUM(D16:D21)</f>
        <v>3753574900</v>
      </c>
      <c r="E22" s="366">
        <f t="shared" si="5"/>
        <v>-16428492</v>
      </c>
      <c r="F22" s="366">
        <f t="shared" si="5"/>
        <v>-106648583</v>
      </c>
      <c r="G22" s="366">
        <f t="shared" si="5"/>
        <v>19334524604</v>
      </c>
      <c r="H22" s="366">
        <f t="shared" si="5"/>
        <v>0</v>
      </c>
      <c r="I22" s="366">
        <f t="shared" si="5"/>
        <v>4319122506.53</v>
      </c>
      <c r="J22" s="366">
        <f>SUM(J16:J21)</f>
        <v>13075920619.9</v>
      </c>
      <c r="K22" s="366">
        <f>SUM(K16:K21)</f>
        <v>40360065555.43</v>
      </c>
      <c r="L22" s="366">
        <f>SUM(L16:L21)</f>
        <v>3678284321.6236386</v>
      </c>
      <c r="M22" s="316">
        <f>+K22+L22</f>
        <v>44038349877.05364</v>
      </c>
    </row>
    <row r="23" spans="2:13" ht="30">
      <c r="B23" s="364">
        <v>1</v>
      </c>
      <c r="C23" s="69" t="s">
        <v>818</v>
      </c>
      <c r="D23" s="373">
        <v>0</v>
      </c>
      <c r="E23" s="373">
        <v>0</v>
      </c>
      <c r="F23" s="373">
        <v>0</v>
      </c>
      <c r="G23" s="373">
        <v>0</v>
      </c>
      <c r="H23" s="373">
        <v>0</v>
      </c>
      <c r="I23" s="373">
        <v>0</v>
      </c>
      <c r="J23" s="373">
        <v>0</v>
      </c>
      <c r="K23" s="373">
        <v>0</v>
      </c>
      <c r="L23" s="373">
        <v>0</v>
      </c>
      <c r="M23" s="367">
        <f aca="true" t="shared" si="6" ref="M23:M29">+K23+L23</f>
        <v>0</v>
      </c>
    </row>
    <row r="24" spans="2:13" ht="19.5" customHeight="1">
      <c r="B24" s="364">
        <v>2</v>
      </c>
      <c r="C24" s="70" t="s">
        <v>819</v>
      </c>
      <c r="D24" s="366">
        <f>+D22+D23</f>
        <v>3753574900</v>
      </c>
      <c r="E24" s="366">
        <f aca="true" t="shared" si="7" ref="E24:L24">+E22+E23</f>
        <v>-16428492</v>
      </c>
      <c r="F24" s="366">
        <f t="shared" si="7"/>
        <v>-106648583</v>
      </c>
      <c r="G24" s="366">
        <f t="shared" si="7"/>
        <v>19334524604</v>
      </c>
      <c r="H24" s="366">
        <f t="shared" si="7"/>
        <v>0</v>
      </c>
      <c r="I24" s="366">
        <f t="shared" si="7"/>
        <v>4319122506.53</v>
      </c>
      <c r="J24" s="366">
        <f t="shared" si="7"/>
        <v>13075920619.9</v>
      </c>
      <c r="K24" s="366">
        <f t="shared" si="7"/>
        <v>40360065555.43</v>
      </c>
      <c r="L24" s="366">
        <f t="shared" si="7"/>
        <v>3678284321.6236386</v>
      </c>
      <c r="M24" s="367">
        <f t="shared" si="6"/>
        <v>44038349877.05364</v>
      </c>
    </row>
    <row r="25" spans="2:13" ht="15">
      <c r="B25" s="364">
        <v>3</v>
      </c>
      <c r="C25" s="69" t="s">
        <v>820</v>
      </c>
      <c r="D25" s="373">
        <v>0</v>
      </c>
      <c r="E25" s="373">
        <v>0</v>
      </c>
      <c r="F25" s="373">
        <v>0</v>
      </c>
      <c r="G25" s="373">
        <v>0</v>
      </c>
      <c r="H25" s="373">
        <v>0</v>
      </c>
      <c r="I25" s="373">
        <v>0</v>
      </c>
      <c r="J25" s="373">
        <v>0</v>
      </c>
      <c r="K25" s="373">
        <v>0</v>
      </c>
      <c r="L25" s="374">
        <f>+'[8]CT-01'!Y84</f>
        <v>276067774.48652655</v>
      </c>
      <c r="M25" s="370">
        <f t="shared" si="6"/>
        <v>276067774.48652655</v>
      </c>
    </row>
    <row r="26" spans="2:13" ht="15">
      <c r="B26" s="364">
        <v>4</v>
      </c>
      <c r="C26" s="69" t="s">
        <v>808</v>
      </c>
      <c r="D26" s="373">
        <v>0</v>
      </c>
      <c r="E26" s="373">
        <v>0</v>
      </c>
      <c r="F26" s="373">
        <v>0</v>
      </c>
      <c r="G26" s="373">
        <v>0</v>
      </c>
      <c r="H26" s="373">
        <v>0</v>
      </c>
      <c r="I26" s="373">
        <v>0</v>
      </c>
      <c r="J26" s="373">
        <v>0</v>
      </c>
      <c r="K26" s="373">
        <v>0</v>
      </c>
      <c r="L26" s="369"/>
      <c r="M26" s="370">
        <f t="shared" si="6"/>
        <v>0</v>
      </c>
    </row>
    <row r="27" spans="2:13" ht="15">
      <c r="B27" s="364">
        <v>5</v>
      </c>
      <c r="C27" s="69" t="s">
        <v>821</v>
      </c>
      <c r="D27" s="373">
        <v>0</v>
      </c>
      <c r="E27" s="373">
        <v>0</v>
      </c>
      <c r="F27" s="373">
        <v>0</v>
      </c>
      <c r="G27" s="373">
        <v>0</v>
      </c>
      <c r="H27" s="366">
        <v>0</v>
      </c>
      <c r="I27" s="366">
        <f>+'[8]CT-01'!Z82</f>
        <v>-600000</v>
      </c>
      <c r="J27" s="373">
        <v>0</v>
      </c>
      <c r="K27" s="366">
        <f>SUM(D27:J27)</f>
        <v>-600000</v>
      </c>
      <c r="L27" s="373">
        <v>0</v>
      </c>
      <c r="M27" s="370">
        <f t="shared" si="6"/>
        <v>-600000</v>
      </c>
    </row>
    <row r="28" spans="2:13" ht="15">
      <c r="B28" s="364">
        <v>6</v>
      </c>
      <c r="C28" s="311" t="s">
        <v>822</v>
      </c>
      <c r="D28" s="373">
        <v>0</v>
      </c>
      <c r="E28" s="373">
        <v>0</v>
      </c>
      <c r="F28" s="373">
        <v>0</v>
      </c>
      <c r="G28" s="373">
        <v>0</v>
      </c>
      <c r="H28" s="373">
        <v>0</v>
      </c>
      <c r="I28" s="373">
        <v>0</v>
      </c>
      <c r="J28" s="373">
        <v>0</v>
      </c>
      <c r="K28" s="373">
        <v>0</v>
      </c>
      <c r="L28" s="373">
        <v>0</v>
      </c>
      <c r="M28" s="370">
        <f t="shared" si="6"/>
        <v>0</v>
      </c>
    </row>
    <row r="29" spans="2:13" ht="15">
      <c r="B29" s="364">
        <v>7</v>
      </c>
      <c r="C29" s="311" t="s">
        <v>823</v>
      </c>
      <c r="D29" s="373">
        <v>0</v>
      </c>
      <c r="E29" s="373">
        <v>0</v>
      </c>
      <c r="F29" s="373">
        <v>0</v>
      </c>
      <c r="G29" s="373">
        <v>0</v>
      </c>
      <c r="H29" s="373">
        <v>0</v>
      </c>
      <c r="I29" s="373">
        <v>0</v>
      </c>
      <c r="J29" s="373">
        <v>0</v>
      </c>
      <c r="K29" s="373">
        <v>0</v>
      </c>
      <c r="L29" s="373">
        <v>0</v>
      </c>
      <c r="M29" s="370">
        <f t="shared" si="6"/>
        <v>0</v>
      </c>
    </row>
    <row r="30" spans="2:13" ht="15">
      <c r="B30" s="364">
        <v>8</v>
      </c>
      <c r="C30" s="371" t="s">
        <v>825</v>
      </c>
      <c r="D30" s="366">
        <f>SUM(D24:D29)</f>
        <v>3753574900</v>
      </c>
      <c r="E30" s="366">
        <f aca="true" t="shared" si="8" ref="E30:J30">SUM(E24:E29)</f>
        <v>-16428492</v>
      </c>
      <c r="F30" s="366">
        <f t="shared" si="8"/>
        <v>-106648583</v>
      </c>
      <c r="G30" s="366">
        <f t="shared" si="8"/>
        <v>19334524604</v>
      </c>
      <c r="H30" s="366">
        <f t="shared" si="8"/>
        <v>0</v>
      </c>
      <c r="I30" s="366">
        <f t="shared" si="8"/>
        <v>4318522506.53</v>
      </c>
      <c r="J30" s="366">
        <f t="shared" si="8"/>
        <v>13075920619.9</v>
      </c>
      <c r="K30" s="366">
        <f>SUM(K24:K29)</f>
        <v>40359465555.43</v>
      </c>
      <c r="L30" s="366">
        <f>SUM(L24:L29)</f>
        <v>3954352096.110165</v>
      </c>
      <c r="M30" s="366">
        <f>SUM(M24:M29)</f>
        <v>44313817651.54017</v>
      </c>
    </row>
    <row r="31" spans="2:118" s="290" customFormat="1" ht="12.75" customHeight="1" hidden="1">
      <c r="B31" s="322" t="s">
        <v>209</v>
      </c>
      <c r="C31" s="322" t="s">
        <v>209</v>
      </c>
      <c r="D31" s="323">
        <f>+'[8]CT-01'!Y73</f>
        <v>3753574900</v>
      </c>
      <c r="E31" s="323">
        <f>+'[8]CT-01'!Y76</f>
        <v>-16428492</v>
      </c>
      <c r="F31" s="323">
        <f>+'[8]CT-01'!Y77</f>
        <v>-106648582.98</v>
      </c>
      <c r="G31" s="323">
        <f>+'[8]CT-01'!Y78</f>
        <v>19334524603.97</v>
      </c>
      <c r="H31" s="323"/>
      <c r="I31" s="323">
        <f>+'[8]CT-01'!Y80+'[8]CT-01'!Y81+'[8]CT-01'!Y82</f>
        <v>4318522506.54</v>
      </c>
      <c r="J31" s="323">
        <f>+'[8]CT-01'!Y83+'[8]CT-01'!Y84-'owner''s equity'!L30</f>
        <v>13075920619.896559</v>
      </c>
      <c r="K31" s="323">
        <f>+'[8]CT-01'!Y86-'owner''s equity'!L30</f>
        <v>40359465555.42655</v>
      </c>
      <c r="L31" s="325"/>
      <c r="M31" s="323">
        <f>+'[8]CT-01'!Y86</f>
        <v>44313817651.53672</v>
      </c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387"/>
      <c r="CG31" s="387"/>
      <c r="CH31" s="387"/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387"/>
      <c r="CX31" s="387"/>
      <c r="CY31" s="387"/>
      <c r="CZ31" s="387"/>
      <c r="DA31" s="387"/>
      <c r="DB31" s="387"/>
      <c r="DC31" s="387"/>
      <c r="DD31" s="387"/>
      <c r="DE31" s="387"/>
      <c r="DF31" s="387"/>
      <c r="DG31" s="387"/>
      <c r="DH31" s="387"/>
      <c r="DI31" s="387"/>
      <c r="DJ31" s="387"/>
      <c r="DK31" s="387"/>
      <c r="DL31" s="387"/>
      <c r="DM31" s="387"/>
      <c r="DN31" s="387"/>
    </row>
    <row r="32" spans="2:13" s="290" customFormat="1" ht="12.75" customHeight="1" hidden="1">
      <c r="B32" s="322"/>
      <c r="C32" s="322"/>
      <c r="D32" s="323">
        <f aca="true" t="shared" si="9" ref="D32:K32">+D31-D30</f>
        <v>0</v>
      </c>
      <c r="E32" s="323">
        <f t="shared" si="9"/>
        <v>0</v>
      </c>
      <c r="F32" s="323">
        <f t="shared" si="9"/>
        <v>0.019999995827674866</v>
      </c>
      <c r="G32" s="323">
        <f t="shared" si="9"/>
        <v>-0.029998779296875</v>
      </c>
      <c r="H32" s="323">
        <f t="shared" si="9"/>
        <v>0</v>
      </c>
      <c r="I32" s="323">
        <f t="shared" si="9"/>
        <v>0.010000228881835938</v>
      </c>
      <c r="J32" s="323">
        <f t="shared" si="9"/>
        <v>-0.00344085693359375</v>
      </c>
      <c r="K32" s="323">
        <f t="shared" si="9"/>
        <v>-0.003448486328125</v>
      </c>
      <c r="L32" s="323"/>
      <c r="M32" s="323">
        <f>+M31-M30</f>
        <v>-0.003448486328125</v>
      </c>
    </row>
    <row r="33" spans="2:13" s="290" customFormat="1" ht="12.75" customHeight="1" hidden="1">
      <c r="B33" s="322"/>
      <c r="C33" s="322"/>
      <c r="D33" s="323"/>
      <c r="E33" s="323"/>
      <c r="F33" s="323"/>
      <c r="G33" s="323"/>
      <c r="H33" s="323"/>
      <c r="I33" s="323"/>
      <c r="J33" s="323"/>
      <c r="K33" s="323"/>
      <c r="L33" s="325"/>
      <c r="M33" s="323"/>
    </row>
    <row r="34" spans="2:13" s="290" customFormat="1" ht="15.75" customHeight="1" hidden="1">
      <c r="B34" s="322"/>
      <c r="C34" s="326"/>
      <c r="D34" s="323"/>
      <c r="E34" s="328" t="s">
        <v>482</v>
      </c>
      <c r="F34" s="328"/>
      <c r="G34" s="328"/>
      <c r="H34" s="323"/>
      <c r="I34" s="323"/>
      <c r="J34" s="323"/>
      <c r="K34" s="323"/>
      <c r="L34" s="322"/>
      <c r="M34" s="323"/>
    </row>
    <row r="35" spans="3:7" ht="15.75" customHeight="1">
      <c r="C35" s="329"/>
      <c r="E35" s="328"/>
      <c r="F35" s="328"/>
      <c r="G35" s="328"/>
    </row>
  </sheetData>
  <sheetProtection/>
  <mergeCells count="1">
    <mergeCell ref="BN31:DN31"/>
  </mergeCells>
  <printOptions/>
  <pageMargins left="0" right="0" top="0.38" bottom="1" header="0.5" footer="0.5"/>
  <pageSetup horizontalDpi="300" verticalDpi="300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9"/>
  <sheetViews>
    <sheetView tabSelected="1" zoomScale="115" zoomScaleNormal="115" zoomScalePageLayoutView="0" workbookViewId="0" topLeftCell="A3">
      <selection activeCell="E57" sqref="E57"/>
    </sheetView>
  </sheetViews>
  <sheetFormatPr defaultColWidth="9.140625" defaultRowHeight="15"/>
  <cols>
    <col min="1" max="1" width="11.421875" style="7" customWidth="1"/>
    <col min="2" max="2" width="8.8515625" style="331" customWidth="1"/>
    <col min="3" max="3" width="55.7109375" style="331" bestFit="1" customWidth="1"/>
    <col min="4" max="4" width="22.421875" style="331" customWidth="1"/>
    <col min="5" max="5" width="21.00390625" style="324" customWidth="1"/>
    <col min="6" max="6" width="14.7109375" style="7" bestFit="1" customWidth="1"/>
    <col min="7" max="7" width="12.421875" style="7" customWidth="1"/>
    <col min="8" max="8" width="12.28125" style="7" bestFit="1" customWidth="1"/>
    <col min="9" max="16384" width="11.421875" style="7" customWidth="1"/>
  </cols>
  <sheetData>
    <row r="1" ht="15.75">
      <c r="B1" s="330"/>
    </row>
    <row r="2" spans="2:5" ht="15.75">
      <c r="B2" s="332"/>
      <c r="C2" s="330"/>
      <c r="D2" s="333"/>
      <c r="E2" s="331"/>
    </row>
    <row r="3" spans="2:5" ht="15.75">
      <c r="B3" s="21" t="s">
        <v>826</v>
      </c>
      <c r="C3" s="291"/>
      <c r="D3" s="291"/>
      <c r="E3" s="291"/>
    </row>
    <row r="4" spans="2:5" ht="15">
      <c r="B4" s="291"/>
      <c r="C4" s="291"/>
      <c r="D4" s="291"/>
      <c r="E4" s="22" t="s">
        <v>664</v>
      </c>
    </row>
    <row r="5" spans="2:5" ht="29.25" customHeight="1">
      <c r="B5" s="23" t="s">
        <v>112</v>
      </c>
      <c r="C5" s="23" t="s">
        <v>665</v>
      </c>
      <c r="D5" s="375" t="s">
        <v>827</v>
      </c>
      <c r="E5" s="375" t="s">
        <v>828</v>
      </c>
    </row>
    <row r="6" spans="2:5" ht="15">
      <c r="B6" s="19" t="s">
        <v>212</v>
      </c>
      <c r="C6" s="25" t="s">
        <v>829</v>
      </c>
      <c r="D6" s="376">
        <v>0</v>
      </c>
      <c r="E6" s="376">
        <v>0</v>
      </c>
    </row>
    <row r="7" spans="2:5" s="9" customFormat="1" ht="15.75">
      <c r="B7" s="19" t="s">
        <v>301</v>
      </c>
      <c r="C7" s="25" t="s">
        <v>830</v>
      </c>
      <c r="D7" s="358">
        <v>28645737892.949997</v>
      </c>
      <c r="E7" s="314">
        <f>SUM(E8:E13)</f>
        <v>9298333659.35</v>
      </c>
    </row>
    <row r="8" spans="2:5" ht="15.75">
      <c r="B8" s="19" t="s">
        <v>677</v>
      </c>
      <c r="C8" s="19" t="s">
        <v>831</v>
      </c>
      <c r="D8" s="377">
        <v>22860320847.69</v>
      </c>
      <c r="E8" s="314">
        <f>9298333659.35-E9-E13</f>
        <v>8815652544.89</v>
      </c>
    </row>
    <row r="9" spans="2:5" ht="15.75">
      <c r="B9" s="19" t="s">
        <v>678</v>
      </c>
      <c r="C9" s="182" t="s">
        <v>785</v>
      </c>
      <c r="D9" s="377">
        <v>4722417368.26</v>
      </c>
      <c r="E9" s="314">
        <v>146466712.87</v>
      </c>
    </row>
    <row r="10" spans="2:5" ht="15">
      <c r="B10" s="19" t="s">
        <v>679</v>
      </c>
      <c r="C10" s="19" t="s">
        <v>832</v>
      </c>
      <c r="D10" s="376">
        <v>0</v>
      </c>
      <c r="E10" s="376">
        <v>0</v>
      </c>
    </row>
    <row r="11" spans="2:5" ht="15">
      <c r="B11" s="19" t="s">
        <v>680</v>
      </c>
      <c r="C11" s="19" t="s">
        <v>833</v>
      </c>
      <c r="D11" s="376">
        <v>0</v>
      </c>
      <c r="E11" s="376">
        <v>0</v>
      </c>
    </row>
    <row r="12" spans="2:5" ht="15">
      <c r="B12" s="19" t="s">
        <v>681</v>
      </c>
      <c r="C12" s="182" t="s">
        <v>834</v>
      </c>
      <c r="D12" s="376">
        <v>0</v>
      </c>
      <c r="E12" s="376">
        <v>0</v>
      </c>
    </row>
    <row r="13" spans="2:5" ht="15.75">
      <c r="B13" s="19" t="s">
        <v>682</v>
      </c>
      <c r="C13" s="19" t="s">
        <v>835</v>
      </c>
      <c r="D13" s="377">
        <v>1062999677</v>
      </c>
      <c r="E13" s="314">
        <v>336214401.59</v>
      </c>
    </row>
    <row r="14" spans="2:5" s="9" customFormat="1" ht="15.75">
      <c r="B14" s="19" t="s">
        <v>302</v>
      </c>
      <c r="C14" s="25" t="s">
        <v>836</v>
      </c>
      <c r="D14" s="358">
        <v>28511375869.16</v>
      </c>
      <c r="E14" s="314">
        <f>SUM(E15:E23)</f>
        <v>8139779375.38</v>
      </c>
    </row>
    <row r="15" spans="2:7" ht="15.75">
      <c r="B15" s="19" t="s">
        <v>699</v>
      </c>
      <c r="C15" s="19" t="s">
        <v>837</v>
      </c>
      <c r="D15" s="378">
        <v>3664088030</v>
      </c>
      <c r="E15" s="314">
        <v>1051508754.17</v>
      </c>
      <c r="F15" s="10"/>
      <c r="G15" s="38"/>
    </row>
    <row r="16" spans="2:5" ht="15.75">
      <c r="B16" s="19" t="s">
        <v>700</v>
      </c>
      <c r="C16" s="19" t="s">
        <v>838</v>
      </c>
      <c r="D16" s="378">
        <v>805667970</v>
      </c>
      <c r="E16" s="314">
        <v>165727750.71</v>
      </c>
    </row>
    <row r="17" spans="2:5" ht="15.75">
      <c r="B17" s="19" t="s">
        <v>701</v>
      </c>
      <c r="C17" s="19" t="s">
        <v>839</v>
      </c>
      <c r="D17" s="378">
        <v>10859690127</v>
      </c>
      <c r="E17" s="314">
        <v>2740065099.62</v>
      </c>
    </row>
    <row r="18" spans="2:5" ht="15.75">
      <c r="B18" s="19" t="s">
        <v>702</v>
      </c>
      <c r="C18" s="19" t="s">
        <v>840</v>
      </c>
      <c r="D18" s="378">
        <v>1267939168</v>
      </c>
      <c r="E18" s="314">
        <v>482434164.39</v>
      </c>
    </row>
    <row r="19" spans="2:5" ht="15.75">
      <c r="B19" s="19" t="s">
        <v>703</v>
      </c>
      <c r="C19" s="19" t="s">
        <v>841</v>
      </c>
      <c r="D19" s="378">
        <v>1381218423</v>
      </c>
      <c r="E19" s="314">
        <v>294731499.84000003</v>
      </c>
    </row>
    <row r="20" spans="2:5" ht="15.75">
      <c r="B20" s="19" t="s">
        <v>704</v>
      </c>
      <c r="C20" s="19" t="s">
        <v>842</v>
      </c>
      <c r="D20" s="378">
        <v>2025176256</v>
      </c>
      <c r="E20" s="314">
        <v>775113462.4500002</v>
      </c>
    </row>
    <row r="21" spans="2:5" ht="15.75">
      <c r="B21" s="19" t="s">
        <v>705</v>
      </c>
      <c r="C21" s="182" t="s">
        <v>843</v>
      </c>
      <c r="D21" s="378">
        <v>837419472</v>
      </c>
      <c r="E21" s="314">
        <v>219773837.12</v>
      </c>
    </row>
    <row r="22" spans="2:5" ht="15">
      <c r="B22" s="19" t="s">
        <v>706</v>
      </c>
      <c r="C22" s="19" t="s">
        <v>844</v>
      </c>
      <c r="D22" s="376">
        <v>0</v>
      </c>
      <c r="E22" s="376">
        <v>0</v>
      </c>
    </row>
    <row r="23" spans="2:5" ht="15.75">
      <c r="B23" s="19" t="s">
        <v>707</v>
      </c>
      <c r="C23" s="19" t="s">
        <v>845</v>
      </c>
      <c r="D23" s="377">
        <v>7670176423.16</v>
      </c>
      <c r="E23" s="314">
        <v>2410424807.08</v>
      </c>
    </row>
    <row r="24" spans="2:5" ht="15.75">
      <c r="B24" s="19" t="s">
        <v>303</v>
      </c>
      <c r="C24" s="25" t="s">
        <v>846</v>
      </c>
      <c r="D24" s="358">
        <v>134362023.7899971</v>
      </c>
      <c r="E24" s="314">
        <f>E7-E14</f>
        <v>1158554283.9700003</v>
      </c>
    </row>
    <row r="25" spans="2:5" ht="15">
      <c r="B25" s="19" t="s">
        <v>213</v>
      </c>
      <c r="C25" s="25" t="s">
        <v>847</v>
      </c>
      <c r="D25" s="376">
        <v>0</v>
      </c>
      <c r="E25" s="376">
        <v>0</v>
      </c>
    </row>
    <row r="26" spans="2:5" ht="15.75">
      <c r="B26" s="19" t="s">
        <v>305</v>
      </c>
      <c r="C26" s="25" t="s">
        <v>830</v>
      </c>
      <c r="D26" s="358">
        <v>442000466.07</v>
      </c>
      <c r="E26" s="376">
        <v>0</v>
      </c>
    </row>
    <row r="27" spans="2:5" ht="15.75">
      <c r="B27" s="19" t="s">
        <v>724</v>
      </c>
      <c r="C27" s="19" t="s">
        <v>848</v>
      </c>
      <c r="D27" s="378">
        <v>57548900</v>
      </c>
      <c r="E27" s="376">
        <v>0</v>
      </c>
    </row>
    <row r="28" spans="2:5" ht="15">
      <c r="B28" s="19" t="s">
        <v>744</v>
      </c>
      <c r="C28" s="19" t="s">
        <v>849</v>
      </c>
      <c r="D28" s="376">
        <v>0</v>
      </c>
      <c r="E28" s="376">
        <v>0</v>
      </c>
    </row>
    <row r="29" spans="2:5" ht="15">
      <c r="B29" s="19" t="s">
        <v>850</v>
      </c>
      <c r="C29" s="19" t="s">
        <v>851</v>
      </c>
      <c r="D29" s="376">
        <v>0</v>
      </c>
      <c r="E29" s="376">
        <v>0</v>
      </c>
    </row>
    <row r="30" spans="2:5" ht="15">
      <c r="B30" s="19" t="s">
        <v>852</v>
      </c>
      <c r="C30" s="19" t="s">
        <v>853</v>
      </c>
      <c r="D30" s="376">
        <v>0</v>
      </c>
      <c r="E30" s="376">
        <v>0</v>
      </c>
    </row>
    <row r="31" spans="2:5" ht="15">
      <c r="B31" s="19" t="s">
        <v>854</v>
      </c>
      <c r="C31" s="182" t="s">
        <v>855</v>
      </c>
      <c r="D31" s="376">
        <v>0</v>
      </c>
      <c r="E31" s="376">
        <v>0</v>
      </c>
    </row>
    <row r="32" spans="2:8" ht="15.75">
      <c r="B32" s="19" t="s">
        <v>856</v>
      </c>
      <c r="C32" s="19" t="s">
        <v>857</v>
      </c>
      <c r="D32" s="377">
        <v>384451566.07</v>
      </c>
      <c r="E32" s="376">
        <v>0</v>
      </c>
      <c r="F32" s="8"/>
      <c r="H32" s="10"/>
    </row>
    <row r="33" spans="2:5" ht="15">
      <c r="B33" s="19" t="s">
        <v>858</v>
      </c>
      <c r="C33" s="19" t="s">
        <v>859</v>
      </c>
      <c r="D33" s="376">
        <v>0</v>
      </c>
      <c r="E33" s="376">
        <v>0</v>
      </c>
    </row>
    <row r="34" spans="2:5" ht="15.75">
      <c r="B34" s="19" t="s">
        <v>307</v>
      </c>
      <c r="C34" s="25" t="s">
        <v>836</v>
      </c>
      <c r="D34" s="358">
        <v>4516033741</v>
      </c>
      <c r="E34" s="314">
        <f>SUM(E35:E39)</f>
        <v>509344976.84000003</v>
      </c>
    </row>
    <row r="35" spans="2:5" ht="15.75">
      <c r="B35" s="19" t="s">
        <v>860</v>
      </c>
      <c r="C35" s="182" t="s">
        <v>861</v>
      </c>
      <c r="D35" s="377">
        <v>4516033741</v>
      </c>
      <c r="E35" s="314">
        <v>509344976.84000003</v>
      </c>
    </row>
    <row r="36" spans="2:5" ht="15">
      <c r="B36" s="19" t="s">
        <v>862</v>
      </c>
      <c r="C36" s="182" t="s">
        <v>863</v>
      </c>
      <c r="D36" s="376">
        <v>0</v>
      </c>
      <c r="E36" s="376">
        <v>0</v>
      </c>
    </row>
    <row r="37" spans="2:5" ht="15">
      <c r="B37" s="19" t="s">
        <v>864</v>
      </c>
      <c r="C37" s="182" t="s">
        <v>865</v>
      </c>
      <c r="D37" s="376">
        <v>0</v>
      </c>
      <c r="E37" s="376">
        <v>0</v>
      </c>
    </row>
    <row r="38" spans="2:5" ht="20.25" customHeight="1">
      <c r="B38" s="19" t="s">
        <v>866</v>
      </c>
      <c r="C38" s="182" t="s">
        <v>867</v>
      </c>
      <c r="D38" s="376">
        <v>0</v>
      </c>
      <c r="E38" s="376">
        <v>0</v>
      </c>
    </row>
    <row r="39" spans="2:5" ht="15">
      <c r="B39" s="19" t="s">
        <v>868</v>
      </c>
      <c r="C39" s="182" t="s">
        <v>869</v>
      </c>
      <c r="D39" s="376">
        <v>0</v>
      </c>
      <c r="E39" s="376">
        <v>0</v>
      </c>
    </row>
    <row r="40" spans="2:5" ht="15">
      <c r="B40" s="19" t="s">
        <v>870</v>
      </c>
      <c r="C40" s="19"/>
      <c r="D40" s="376">
        <v>0</v>
      </c>
      <c r="E40" s="376">
        <v>0</v>
      </c>
    </row>
    <row r="41" spans="2:5" ht="15.75">
      <c r="B41" s="19" t="s">
        <v>871</v>
      </c>
      <c r="C41" s="25" t="s">
        <v>872</v>
      </c>
      <c r="D41" s="358">
        <v>-4074033274.93</v>
      </c>
      <c r="E41" s="314">
        <f>E26-E34</f>
        <v>-509344976.84000003</v>
      </c>
    </row>
    <row r="42" spans="2:5" ht="15">
      <c r="B42" s="19" t="s">
        <v>214</v>
      </c>
      <c r="C42" s="25" t="s">
        <v>873</v>
      </c>
      <c r="D42" s="376">
        <v>0</v>
      </c>
      <c r="E42" s="376">
        <v>0</v>
      </c>
    </row>
    <row r="43" spans="2:5" ht="15.75">
      <c r="B43" s="19" t="s">
        <v>221</v>
      </c>
      <c r="C43" s="25" t="s">
        <v>830</v>
      </c>
      <c r="D43" s="358">
        <v>7641800000</v>
      </c>
      <c r="E43" s="314">
        <f>SUM(E44:E46)</f>
        <v>624000000</v>
      </c>
    </row>
    <row r="44" spans="2:5" ht="15.75">
      <c r="B44" s="19" t="s">
        <v>874</v>
      </c>
      <c r="C44" s="19" t="s">
        <v>875</v>
      </c>
      <c r="D44" s="377">
        <v>7641800000</v>
      </c>
      <c r="E44" s="314">
        <v>624000000</v>
      </c>
    </row>
    <row r="45" spans="2:5" ht="15">
      <c r="B45" s="381" t="s">
        <v>876</v>
      </c>
      <c r="C45" s="381" t="s">
        <v>821</v>
      </c>
      <c r="D45" s="376">
        <v>0</v>
      </c>
      <c r="E45" s="376">
        <v>0</v>
      </c>
    </row>
    <row r="46" spans="2:5" ht="15.75">
      <c r="B46" s="384" t="s">
        <v>877</v>
      </c>
      <c r="C46" s="385"/>
      <c r="D46" s="376">
        <v>0</v>
      </c>
      <c r="E46" s="376">
        <v>0</v>
      </c>
    </row>
    <row r="47" spans="2:5" s="9" customFormat="1" ht="15.75">
      <c r="B47" s="69" t="s">
        <v>223</v>
      </c>
      <c r="C47" s="70" t="s">
        <v>836</v>
      </c>
      <c r="D47" s="358">
        <v>4385022495</v>
      </c>
      <c r="E47" s="314">
        <f>SUM(E48:E52)</f>
        <v>1249435212.2947423</v>
      </c>
    </row>
    <row r="48" spans="2:5" ht="15.75">
      <c r="B48" s="69" t="s">
        <v>878</v>
      </c>
      <c r="C48" s="69" t="s">
        <v>879</v>
      </c>
      <c r="D48" s="377">
        <v>4385022495</v>
      </c>
      <c r="E48" s="314">
        <v>1249435212.2947423</v>
      </c>
    </row>
    <row r="49" spans="2:5" ht="15">
      <c r="B49" s="69" t="s">
        <v>880</v>
      </c>
      <c r="C49" s="69" t="s">
        <v>881</v>
      </c>
      <c r="D49" s="376">
        <v>0</v>
      </c>
      <c r="E49" s="376">
        <v>0</v>
      </c>
    </row>
    <row r="50" spans="2:5" ht="15">
      <c r="B50" s="69" t="s">
        <v>882</v>
      </c>
      <c r="C50" s="69" t="s">
        <v>883</v>
      </c>
      <c r="D50" s="376">
        <v>0</v>
      </c>
      <c r="E50" s="376">
        <v>0</v>
      </c>
    </row>
    <row r="51" spans="2:5" ht="15">
      <c r="B51" s="69" t="s">
        <v>884</v>
      </c>
      <c r="C51" s="69" t="s">
        <v>822</v>
      </c>
      <c r="D51" s="376">
        <v>0</v>
      </c>
      <c r="E51" s="376">
        <v>0</v>
      </c>
    </row>
    <row r="52" spans="2:5" ht="15.75">
      <c r="B52" s="386" t="s">
        <v>885</v>
      </c>
      <c r="C52" s="384" t="s">
        <v>886</v>
      </c>
      <c r="D52" s="376">
        <v>0</v>
      </c>
      <c r="E52" s="376">
        <v>0</v>
      </c>
    </row>
    <row r="53" spans="2:5" ht="15.75">
      <c r="B53" s="382" t="s">
        <v>313</v>
      </c>
      <c r="C53" s="383" t="s">
        <v>887</v>
      </c>
      <c r="D53" s="358">
        <v>3256777505</v>
      </c>
      <c r="E53" s="314">
        <f>E43-E47</f>
        <v>-625435212.2947423</v>
      </c>
    </row>
    <row r="54" spans="2:5" ht="15.75">
      <c r="B54" s="380">
        <v>4</v>
      </c>
      <c r="C54" s="25" t="s">
        <v>888</v>
      </c>
      <c r="D54" s="358">
        <v>-682893746.1400027</v>
      </c>
      <c r="E54" s="314">
        <f>E24+E41+E53</f>
        <v>23774094.835257888</v>
      </c>
    </row>
    <row r="55" spans="2:5" ht="15.75">
      <c r="B55" s="19" t="s">
        <v>234</v>
      </c>
      <c r="C55" s="363" t="s">
        <v>889</v>
      </c>
      <c r="D55" s="379">
        <v>1140899423</v>
      </c>
      <c r="E55" s="314">
        <f>+D56</f>
        <v>458005676.86</v>
      </c>
    </row>
    <row r="56" spans="2:5" ht="15.75">
      <c r="B56" s="19" t="s">
        <v>890</v>
      </c>
      <c r="C56" s="363" t="s">
        <v>891</v>
      </c>
      <c r="D56" s="379">
        <v>458005676.86</v>
      </c>
      <c r="E56" s="314">
        <f>+'balance sheet'!E8</f>
        <v>481779771.6999998</v>
      </c>
    </row>
    <row r="57" spans="2:5" s="156" customFormat="1" ht="15.75">
      <c r="B57" s="336"/>
      <c r="C57" s="336"/>
      <c r="D57" s="337"/>
      <c r="E57" s="338"/>
    </row>
    <row r="58" spans="2:5" s="4" customFormat="1" ht="15">
      <c r="B58" s="339"/>
      <c r="C58" s="339"/>
      <c r="D58" s="340"/>
      <c r="E58" s="327"/>
    </row>
    <row r="59" spans="2:5" s="4" customFormat="1" ht="15">
      <c r="B59" s="339"/>
      <c r="C59" s="339"/>
      <c r="D59" s="339"/>
      <c r="E59" s="327"/>
    </row>
    <row r="60" spans="2:5" s="4" customFormat="1" ht="15">
      <c r="B60" s="339"/>
      <c r="C60" s="339"/>
      <c r="D60" s="339"/>
      <c r="E60" s="327"/>
    </row>
    <row r="67" ht="15.75">
      <c r="D67" s="333"/>
    </row>
    <row r="69" ht="15.75">
      <c r="D69" s="341"/>
    </row>
  </sheetData>
  <sheetProtection/>
  <printOptions/>
  <pageMargins left="0.8" right="0.32" top="0" bottom="0" header="0.3" footer="0.15"/>
  <pageSetup horizontalDpi="600" verticalDpi="600" orientation="portrait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"/>
    </sheetView>
  </sheetViews>
  <sheetFormatPr defaultColWidth="9.140625" defaultRowHeight="15"/>
  <cols>
    <col min="1" max="1" width="7.00390625" style="7" customWidth="1"/>
    <col min="2" max="2" width="59.28125" style="7" customWidth="1"/>
    <col min="3" max="3" width="22.421875" style="7" customWidth="1"/>
    <col min="4" max="4" width="21.00390625" style="139" customWidth="1"/>
    <col min="5" max="5" width="14.7109375" style="7" bestFit="1" customWidth="1"/>
    <col min="6" max="6" width="10.00390625" style="7" bestFit="1" customWidth="1"/>
    <col min="7" max="7" width="12.28125" style="7" bestFit="1" customWidth="1"/>
    <col min="8" max="16384" width="11.421875" style="7" customWidth="1"/>
  </cols>
  <sheetData>
    <row r="1" spans="1:3" ht="15">
      <c r="A1" s="388" t="s">
        <v>628</v>
      </c>
      <c r="B1" s="388"/>
      <c r="C1" s="388"/>
    </row>
    <row r="2" ht="15">
      <c r="A2" s="12"/>
    </row>
    <row r="3" spans="1:4" ht="15">
      <c r="A3" s="66"/>
      <c r="B3" s="65" t="s">
        <v>422</v>
      </c>
      <c r="C3" s="389">
        <f>+'income statement'!E2</f>
        <v>0</v>
      </c>
      <c r="D3" s="390"/>
    </row>
    <row r="4" spans="1:2" ht="15">
      <c r="A4" s="391" t="str">
        <f>'[6]CT-3'!A4</f>
        <v>( Аж ахуйн нэгжийн нэр )</v>
      </c>
      <c r="B4" s="391"/>
    </row>
    <row r="5" ht="15.75" thickBot="1">
      <c r="D5" s="140" t="s">
        <v>1</v>
      </c>
    </row>
    <row r="6" spans="1:4" ht="29.25" customHeight="1" thickTop="1">
      <c r="A6" s="64" t="s">
        <v>2</v>
      </c>
      <c r="B6" s="63" t="s">
        <v>25</v>
      </c>
      <c r="C6" s="63" t="s">
        <v>20</v>
      </c>
      <c r="D6" s="134" t="s">
        <v>26</v>
      </c>
    </row>
    <row r="7" spans="1:4" ht="15">
      <c r="A7" s="58">
        <v>1</v>
      </c>
      <c r="B7" s="42" t="s">
        <v>27</v>
      </c>
      <c r="C7" s="62"/>
      <c r="D7" s="130"/>
    </row>
    <row r="8" spans="1:4" s="9" customFormat="1" ht="14.25">
      <c r="A8" s="58">
        <v>1.1</v>
      </c>
      <c r="B8" s="42" t="s">
        <v>28</v>
      </c>
      <c r="C8" s="3">
        <f>SUM(C9:C14)</f>
        <v>24495255197</v>
      </c>
      <c r="D8" s="132">
        <f>SUM(D9:D14)</f>
        <v>28645737892.949997</v>
      </c>
    </row>
    <row r="9" spans="1:4" ht="12.75" customHeight="1">
      <c r="A9" s="61" t="s">
        <v>29</v>
      </c>
      <c r="B9" s="52" t="s">
        <v>30</v>
      </c>
      <c r="C9" s="135">
        <v>18769247181</v>
      </c>
      <c r="D9" s="130">
        <f>26686921739+402904674+839837620-D10-357328100.26+10402283.21</f>
        <v>22860320847.69</v>
      </c>
    </row>
    <row r="10" spans="1:4" ht="12.75" customHeight="1">
      <c r="A10" s="61" t="s">
        <v>31</v>
      </c>
      <c r="B10" s="52" t="s">
        <v>32</v>
      </c>
      <c r="C10" s="135">
        <v>3271578898</v>
      </c>
      <c r="D10" s="130">
        <v>4722417368.26</v>
      </c>
    </row>
    <row r="11" spans="1:4" ht="12.75" customHeight="1">
      <c r="A11" s="61" t="s">
        <v>33</v>
      </c>
      <c r="B11" s="52" t="s">
        <v>34</v>
      </c>
      <c r="C11" s="130"/>
      <c r="D11" s="130"/>
    </row>
    <row r="12" spans="1:3" ht="12.75" customHeight="1">
      <c r="A12" s="61" t="s">
        <v>35</v>
      </c>
      <c r="B12" s="52" t="s">
        <v>36</v>
      </c>
      <c r="C12" s="136"/>
    </row>
    <row r="13" spans="1:4" ht="12.75" customHeight="1">
      <c r="A13" s="61" t="s">
        <v>37</v>
      </c>
      <c r="B13" s="52" t="s">
        <v>38</v>
      </c>
      <c r="C13" s="136"/>
      <c r="D13" s="130"/>
    </row>
    <row r="14" spans="1:4" ht="12.75" customHeight="1">
      <c r="A14" s="61" t="s">
        <v>39</v>
      </c>
      <c r="B14" s="52" t="s">
        <v>40</v>
      </c>
      <c r="C14" s="135">
        <v>2454429118</v>
      </c>
      <c r="D14" s="130">
        <v>1062999677</v>
      </c>
    </row>
    <row r="15" spans="1:4" s="9" customFormat="1" ht="14.25">
      <c r="A15" s="58">
        <v>1.2</v>
      </c>
      <c r="B15" s="42" t="s">
        <v>41</v>
      </c>
      <c r="C15" s="3">
        <f>SUM(C16:C25)</f>
        <v>25026011733</v>
      </c>
      <c r="D15" s="132">
        <f>SUM(D16:D25)</f>
        <v>28511375869.16</v>
      </c>
    </row>
    <row r="16" spans="1:4" ht="13.5" customHeight="1">
      <c r="A16" s="60" t="s">
        <v>42</v>
      </c>
      <c r="B16" s="52" t="s">
        <v>43</v>
      </c>
      <c r="C16" s="105">
        <v>3577652677</v>
      </c>
      <c r="D16" s="130">
        <v>3664088030</v>
      </c>
    </row>
    <row r="17" spans="1:4" ht="13.5" customHeight="1">
      <c r="A17" s="60" t="s">
        <v>44</v>
      </c>
      <c r="B17" s="52" t="s">
        <v>45</v>
      </c>
      <c r="C17" s="105">
        <v>776490454</v>
      </c>
      <c r="D17" s="130">
        <v>805667970</v>
      </c>
    </row>
    <row r="18" spans="1:4" ht="13.5" customHeight="1">
      <c r="A18" s="60" t="s">
        <v>46</v>
      </c>
      <c r="B18" s="52" t="s">
        <v>47</v>
      </c>
      <c r="C18" s="105">
        <v>10914774710</v>
      </c>
      <c r="D18" s="130">
        <v>10859690127</v>
      </c>
    </row>
    <row r="19" spans="1:4" ht="13.5" customHeight="1">
      <c r="A19" s="60" t="s">
        <v>48</v>
      </c>
      <c r="B19" s="52" t="s">
        <v>49</v>
      </c>
      <c r="C19" s="105">
        <v>1737774171</v>
      </c>
      <c r="D19" s="130">
        <v>1267939168</v>
      </c>
    </row>
    <row r="20" spans="1:4" ht="13.5" customHeight="1">
      <c r="A20" s="60" t="s">
        <v>50</v>
      </c>
      <c r="B20" s="52" t="s">
        <v>51</v>
      </c>
      <c r="C20" s="105">
        <v>277357604</v>
      </c>
      <c r="D20" s="130">
        <v>1381218423</v>
      </c>
    </row>
    <row r="21" spans="1:4" ht="13.5" customHeight="1">
      <c r="A21" s="60" t="s">
        <v>52</v>
      </c>
      <c r="B21" s="52" t="s">
        <v>53</v>
      </c>
      <c r="C21" s="105">
        <v>1152419874</v>
      </c>
      <c r="D21" s="130">
        <v>2025176256</v>
      </c>
    </row>
    <row r="22" spans="1:4" ht="13.5" customHeight="1">
      <c r="A22" s="60" t="s">
        <v>54</v>
      </c>
      <c r="B22" s="52" t="s">
        <v>55</v>
      </c>
      <c r="C22" s="105">
        <v>467498882</v>
      </c>
      <c r="D22" s="130">
        <v>837419472</v>
      </c>
    </row>
    <row r="23" spans="1:4" ht="13.5" customHeight="1">
      <c r="A23" s="60" t="s">
        <v>56</v>
      </c>
      <c r="B23" s="52" t="s">
        <v>57</v>
      </c>
      <c r="C23" s="105"/>
      <c r="D23" s="130"/>
    </row>
    <row r="24" spans="1:4" ht="13.5" customHeight="1">
      <c r="A24" s="60" t="s">
        <v>58</v>
      </c>
      <c r="B24" s="52" t="s">
        <v>59</v>
      </c>
      <c r="C24" s="135">
        <f>2513642787+3605001233+3399340+1</f>
        <v>6122043361</v>
      </c>
      <c r="D24" s="130">
        <f>28514025869.16-D16-D17-D18-D19-D20-D21-D22-2650000</f>
        <v>7670176423.16</v>
      </c>
    </row>
    <row r="25" spans="1:4" ht="13.5" customHeight="1">
      <c r="A25" s="60"/>
      <c r="B25" s="52"/>
      <c r="C25" s="47"/>
      <c r="D25" s="132"/>
    </row>
    <row r="26" spans="1:4" ht="15">
      <c r="A26" s="59">
        <v>1.3</v>
      </c>
      <c r="B26" s="42" t="s">
        <v>60</v>
      </c>
      <c r="C26" s="3">
        <f>C8-C15</f>
        <v>-530756536</v>
      </c>
      <c r="D26" s="132">
        <f>D8-D15</f>
        <v>134362023.7899971</v>
      </c>
    </row>
    <row r="27" spans="1:4" ht="15">
      <c r="A27" s="58">
        <v>2</v>
      </c>
      <c r="B27" s="42" t="s">
        <v>61</v>
      </c>
      <c r="C27" s="47">
        <v>0</v>
      </c>
      <c r="D27" s="132">
        <v>0</v>
      </c>
    </row>
    <row r="28" spans="1:4" ht="15">
      <c r="A28" s="57">
        <v>2.1</v>
      </c>
      <c r="B28" s="52" t="s">
        <v>28</v>
      </c>
      <c r="C28" s="1">
        <f>SUM(C29:C36)</f>
        <v>286757800</v>
      </c>
      <c r="D28" s="1">
        <f>SUM(D29:D36)</f>
        <v>442000466.07</v>
      </c>
    </row>
    <row r="29" spans="1:4" ht="15">
      <c r="A29" s="57" t="s">
        <v>62</v>
      </c>
      <c r="B29" s="52" t="s">
        <v>63</v>
      </c>
      <c r="C29" s="105"/>
      <c r="D29" s="130">
        <v>57548900</v>
      </c>
    </row>
    <row r="30" spans="1:4" ht="15">
      <c r="A30" s="57" t="s">
        <v>64</v>
      </c>
      <c r="B30" s="52" t="s">
        <v>65</v>
      </c>
      <c r="C30" s="135"/>
      <c r="D30" s="130"/>
    </row>
    <row r="31" spans="1:4" ht="15">
      <c r="A31" s="57" t="s">
        <v>66</v>
      </c>
      <c r="B31" s="52" t="s">
        <v>67</v>
      </c>
      <c r="C31" s="135"/>
      <c r="D31" s="130"/>
    </row>
    <row r="32" spans="1:4" ht="15">
      <c r="A32" s="57" t="s">
        <v>68</v>
      </c>
      <c r="B32" s="52" t="s">
        <v>69</v>
      </c>
      <c r="C32" s="135"/>
      <c r="D32" s="130"/>
    </row>
    <row r="33" spans="1:4" ht="15">
      <c r="A33" s="57" t="s">
        <v>70</v>
      </c>
      <c r="B33" s="52" t="s">
        <v>71</v>
      </c>
      <c r="C33" s="135"/>
      <c r="D33" s="130"/>
    </row>
    <row r="34" spans="1:7" ht="15">
      <c r="A34" s="57" t="s">
        <v>72</v>
      </c>
      <c r="B34" s="52" t="s">
        <v>73</v>
      </c>
      <c r="C34" s="135">
        <v>286757800</v>
      </c>
      <c r="D34" s="130">
        <f>357328100.28+37525749-10402283.21</f>
        <v>384451566.07</v>
      </c>
      <c r="E34" s="8"/>
      <c r="G34" s="10"/>
    </row>
    <row r="35" spans="1:4" ht="15">
      <c r="A35" s="57" t="s">
        <v>74</v>
      </c>
      <c r="B35" s="52" t="s">
        <v>75</v>
      </c>
      <c r="C35" s="47"/>
      <c r="D35" s="132"/>
    </row>
    <row r="36" spans="1:4" ht="15">
      <c r="A36" s="57" t="s">
        <v>76</v>
      </c>
      <c r="B36" s="52" t="s">
        <v>77</v>
      </c>
      <c r="C36" s="54"/>
      <c r="D36" s="132"/>
    </row>
    <row r="37" spans="1:4" ht="15">
      <c r="A37" s="55">
        <v>2.2</v>
      </c>
      <c r="B37" s="52" t="s">
        <v>41</v>
      </c>
      <c r="C37" s="3">
        <f>SUM(C38:C42)</f>
        <v>132785094</v>
      </c>
      <c r="D37" s="132">
        <f>SUM(D38:D42)</f>
        <v>4516033741</v>
      </c>
    </row>
    <row r="38" spans="1:4" ht="15">
      <c r="A38" s="56" t="s">
        <v>78</v>
      </c>
      <c r="B38" s="50" t="s">
        <v>79</v>
      </c>
      <c r="C38" s="135"/>
      <c r="D38" s="130">
        <v>4516033741</v>
      </c>
    </row>
    <row r="39" spans="1:4" ht="15">
      <c r="A39" s="56" t="s">
        <v>80</v>
      </c>
      <c r="B39" s="50" t="s">
        <v>81</v>
      </c>
      <c r="C39" s="135"/>
      <c r="D39" s="130"/>
    </row>
    <row r="40" spans="1:4" ht="15">
      <c r="A40" s="56" t="s">
        <v>82</v>
      </c>
      <c r="B40" s="50" t="s">
        <v>83</v>
      </c>
      <c r="C40" s="135">
        <v>132785094</v>
      </c>
      <c r="D40" s="130"/>
    </row>
    <row r="41" spans="1:4" ht="20.25" customHeight="1">
      <c r="A41" s="56" t="s">
        <v>84</v>
      </c>
      <c r="B41" s="50" t="s">
        <v>85</v>
      </c>
      <c r="C41" s="135"/>
      <c r="D41" s="130"/>
    </row>
    <row r="42" spans="1:4" ht="15">
      <c r="A42" s="56" t="s">
        <v>86</v>
      </c>
      <c r="B42" s="50" t="s">
        <v>87</v>
      </c>
      <c r="C42" s="135"/>
      <c r="D42" s="130"/>
    </row>
    <row r="43" spans="1:4" ht="12.75" customHeight="1">
      <c r="A43" s="56" t="s">
        <v>88</v>
      </c>
      <c r="B43" s="52"/>
      <c r="C43" s="47"/>
      <c r="D43" s="132"/>
    </row>
    <row r="44" spans="1:4" ht="29.25">
      <c r="A44" s="55">
        <v>2.3</v>
      </c>
      <c r="B44" s="42" t="s">
        <v>89</v>
      </c>
      <c r="C44" s="3">
        <f>C28-C37</f>
        <v>153972706</v>
      </c>
      <c r="D44" s="132">
        <f>D28-D37</f>
        <v>-4074033274.93</v>
      </c>
    </row>
    <row r="45" spans="1:4" ht="15">
      <c r="A45" s="43">
        <v>3</v>
      </c>
      <c r="B45" s="42" t="s">
        <v>90</v>
      </c>
      <c r="C45" s="47">
        <v>0</v>
      </c>
      <c r="D45" s="132">
        <v>0</v>
      </c>
    </row>
    <row r="46" spans="1:4" ht="15">
      <c r="A46" s="53">
        <v>3.1</v>
      </c>
      <c r="B46" s="52" t="s">
        <v>28</v>
      </c>
      <c r="C46" s="1">
        <f>SUM(C47:C49)</f>
        <v>2796000000</v>
      </c>
      <c r="D46" s="130">
        <f>SUM(D47:D49)</f>
        <v>7641800000</v>
      </c>
    </row>
    <row r="47" spans="1:4" ht="15">
      <c r="A47" s="49" t="s">
        <v>91</v>
      </c>
      <c r="B47" s="50" t="s">
        <v>92</v>
      </c>
      <c r="C47" s="135">
        <v>2796000000</v>
      </c>
      <c r="D47" s="130">
        <v>7641800000</v>
      </c>
    </row>
    <row r="48" spans="1:4" ht="30.75" customHeight="1">
      <c r="A48" s="53" t="s">
        <v>93</v>
      </c>
      <c r="B48" s="50" t="s">
        <v>94</v>
      </c>
      <c r="C48" s="47"/>
      <c r="D48" s="132"/>
    </row>
    <row r="49" spans="1:4" ht="15">
      <c r="A49" s="53" t="s">
        <v>95</v>
      </c>
      <c r="B49" s="52"/>
      <c r="C49" s="47"/>
      <c r="D49" s="132"/>
    </row>
    <row r="50" spans="1:4" s="9" customFormat="1" ht="14.25">
      <c r="A50" s="43">
        <v>3.2</v>
      </c>
      <c r="B50" s="42" t="s">
        <v>41</v>
      </c>
      <c r="C50" s="3">
        <f>SUM(C51:C56)</f>
        <v>4112043700</v>
      </c>
      <c r="D50" s="132">
        <f>SUM(D51:D56)</f>
        <v>4385022495</v>
      </c>
    </row>
    <row r="51" spans="1:4" ht="15">
      <c r="A51" s="49" t="s">
        <v>96</v>
      </c>
      <c r="B51" s="50" t="s">
        <v>97</v>
      </c>
      <c r="C51" s="135">
        <v>4112043700</v>
      </c>
      <c r="D51" s="130">
        <v>4385022495</v>
      </c>
    </row>
    <row r="52" spans="1:4" ht="15">
      <c r="A52" s="51" t="s">
        <v>98</v>
      </c>
      <c r="B52" s="50" t="s">
        <v>99</v>
      </c>
      <c r="C52" s="135"/>
      <c r="D52" s="130"/>
    </row>
    <row r="53" spans="1:4" ht="15">
      <c r="A53" s="49" t="s">
        <v>100</v>
      </c>
      <c r="B53" s="50" t="s">
        <v>101</v>
      </c>
      <c r="C53" s="105"/>
      <c r="D53" s="130"/>
    </row>
    <row r="54" spans="1:4" ht="15">
      <c r="A54" s="51" t="s">
        <v>102</v>
      </c>
      <c r="B54" s="50" t="s">
        <v>103</v>
      </c>
      <c r="C54" s="135"/>
      <c r="D54" s="130"/>
    </row>
    <row r="55" spans="1:4" ht="15">
      <c r="A55" s="49" t="s">
        <v>104</v>
      </c>
      <c r="B55" s="50" t="s">
        <v>105</v>
      </c>
      <c r="C55" s="135"/>
      <c r="D55" s="130"/>
    </row>
    <row r="56" spans="1:4" ht="15">
      <c r="A56" s="49" t="s">
        <v>106</v>
      </c>
      <c r="B56" s="48" t="s">
        <v>107</v>
      </c>
      <c r="C56" s="47"/>
      <c r="D56" s="132"/>
    </row>
    <row r="57" spans="1:4" ht="29.25">
      <c r="A57" s="46">
        <v>3.3</v>
      </c>
      <c r="B57" s="45" t="s">
        <v>108</v>
      </c>
      <c r="C57" s="3">
        <f>C46-C50</f>
        <v>-1316043700</v>
      </c>
      <c r="D57" s="132">
        <f>D46-D50</f>
        <v>3256777505</v>
      </c>
    </row>
    <row r="58" spans="1:4" ht="15">
      <c r="A58" s="43">
        <v>4</v>
      </c>
      <c r="B58" s="44" t="s">
        <v>109</v>
      </c>
      <c r="C58" s="3">
        <f>C26+C44+C57</f>
        <v>-1692827530</v>
      </c>
      <c r="D58" s="132">
        <f>D26+D44+D57</f>
        <v>-682893746.1400027</v>
      </c>
    </row>
    <row r="59" spans="1:4" ht="15">
      <c r="A59" s="43">
        <v>5</v>
      </c>
      <c r="B59" s="42" t="s">
        <v>110</v>
      </c>
      <c r="C59" s="2">
        <v>2833726953</v>
      </c>
      <c r="D59" s="130">
        <f>+C60</f>
        <v>458005676.86</v>
      </c>
    </row>
    <row r="60" spans="1:4" ht="15.75" thickBot="1">
      <c r="A60" s="41">
        <v>6</v>
      </c>
      <c r="B60" s="40" t="s">
        <v>111</v>
      </c>
      <c r="C60" s="39">
        <f>+'balance sheet'!D8</f>
        <v>458005676.86</v>
      </c>
      <c r="D60" s="133">
        <f>+'balance sheet'!E8</f>
        <v>481779771.6999998</v>
      </c>
    </row>
    <row r="61" spans="3:4" s="156" customFormat="1" ht="15.75" thickTop="1">
      <c r="C61" s="157">
        <f>C60-C59</f>
        <v>-2375721276.14</v>
      </c>
      <c r="D61" s="158">
        <f>D60-D59</f>
        <v>23774094.839999795</v>
      </c>
    </row>
    <row r="62" spans="1:4" s="4" customFormat="1" ht="15">
      <c r="A62" s="4" t="s">
        <v>421</v>
      </c>
      <c r="C62" s="6">
        <f>+C61-C58</f>
        <v>-682893746.1399999</v>
      </c>
      <c r="D62" s="16">
        <f>+D61-D58</f>
        <v>706667840.9800025</v>
      </c>
    </row>
    <row r="63" s="4" customFormat="1" ht="15">
      <c r="D63" s="16"/>
    </row>
    <row r="64" spans="1:4" s="4" customFormat="1" ht="15">
      <c r="A64" s="4" t="s">
        <v>18</v>
      </c>
      <c r="D64" s="16"/>
    </row>
    <row r="71" ht="15">
      <c r="C71" s="8"/>
    </row>
    <row r="73" ht="15">
      <c r="C73" s="38"/>
    </row>
  </sheetData>
  <sheetProtection/>
  <mergeCells count="3">
    <mergeCell ref="A1:C1"/>
    <mergeCell ref="C3:D3"/>
    <mergeCell ref="A4:B4"/>
  </mergeCells>
  <printOptions/>
  <pageMargins left="0.8" right="0.32" top="0" bottom="0" header="0.3" footer="0.15"/>
  <pageSetup horizontalDpi="600" verticalDpi="6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N27"/>
  <sheetViews>
    <sheetView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8" sqref="D18"/>
    </sheetView>
  </sheetViews>
  <sheetFormatPr defaultColWidth="8.8515625" defaultRowHeight="15"/>
  <cols>
    <col min="1" max="1" width="3.00390625" style="123" customWidth="1"/>
    <col min="2" max="2" width="4.8515625" style="123" customWidth="1"/>
    <col min="3" max="3" width="32.7109375" style="123" customWidth="1"/>
    <col min="4" max="4" width="17.28125" style="226" bestFit="1" customWidth="1"/>
    <col min="5" max="5" width="14.421875" style="226" bestFit="1" customWidth="1"/>
    <col min="6" max="6" width="16.8515625" style="226" customWidth="1"/>
    <col min="7" max="7" width="17.7109375" style="226" bestFit="1" customWidth="1"/>
    <col min="8" max="8" width="14.7109375" style="226" hidden="1" customWidth="1"/>
    <col min="9" max="9" width="16.421875" style="226" bestFit="1" customWidth="1"/>
    <col min="10" max="11" width="17.7109375" style="226" bestFit="1" customWidth="1"/>
    <col min="12" max="12" width="17.421875" style="123" bestFit="1" customWidth="1"/>
    <col min="13" max="13" width="17.7109375" style="123" bestFit="1" customWidth="1"/>
    <col min="14" max="14" width="31.8515625" style="123" customWidth="1"/>
    <col min="15" max="19" width="17.421875" style="123" customWidth="1"/>
    <col min="20" max="16384" width="8.8515625" style="123" customWidth="1"/>
  </cols>
  <sheetData>
    <row r="1" spans="1:3" ht="15">
      <c r="A1" s="122"/>
      <c r="C1" s="122" t="s">
        <v>475</v>
      </c>
    </row>
    <row r="2" spans="1:11" ht="15.75" customHeight="1">
      <c r="A2" s="122"/>
      <c r="C2" s="122" t="s">
        <v>476</v>
      </c>
      <c r="J2" s="395">
        <f>+'ct03.'!C3</f>
        <v>0</v>
      </c>
      <c r="K2" s="395"/>
    </row>
    <row r="3" spans="2:4" ht="15">
      <c r="B3" s="394" t="s">
        <v>629</v>
      </c>
      <c r="C3" s="394"/>
      <c r="D3" s="394"/>
    </row>
    <row r="4" spans="11:13" ht="15">
      <c r="K4" s="17"/>
      <c r="M4" s="17" t="s">
        <v>1</v>
      </c>
    </row>
    <row r="5" spans="2:13" ht="60">
      <c r="B5" s="124" t="s">
        <v>112</v>
      </c>
      <c r="C5" s="124" t="s">
        <v>19</v>
      </c>
      <c r="D5" s="227" t="s">
        <v>477</v>
      </c>
      <c r="E5" s="227" t="s">
        <v>11</v>
      </c>
      <c r="F5" s="227" t="s">
        <v>12</v>
      </c>
      <c r="G5" s="227" t="s">
        <v>13</v>
      </c>
      <c r="H5" s="227" t="s">
        <v>14</v>
      </c>
      <c r="I5" s="255" t="s">
        <v>15</v>
      </c>
      <c r="J5" s="258" t="s">
        <v>16</v>
      </c>
      <c r="K5" s="258" t="s">
        <v>118</v>
      </c>
      <c r="L5" s="259" t="s">
        <v>631</v>
      </c>
      <c r="M5" s="260" t="s">
        <v>632</v>
      </c>
    </row>
    <row r="6" spans="2:13" s="270" customFormat="1" ht="30">
      <c r="B6" s="137">
        <v>1</v>
      </c>
      <c r="C6" s="126" t="s">
        <v>486</v>
      </c>
      <c r="D6" s="27">
        <v>5226943985</v>
      </c>
      <c r="E6" s="27">
        <v>-16428492</v>
      </c>
      <c r="F6" s="27">
        <v>-106648583</v>
      </c>
      <c r="G6" s="27">
        <v>19334524504</v>
      </c>
      <c r="H6" s="27">
        <v>0</v>
      </c>
      <c r="I6" s="256">
        <v>3712045049</v>
      </c>
      <c r="J6" s="71">
        <f>14784506720.8</f>
        <v>14784506720.8</v>
      </c>
      <c r="K6" s="71">
        <f>SUM(D6:J6)</f>
        <v>42934943183.8</v>
      </c>
      <c r="L6" s="265">
        <v>299575620.74999577</v>
      </c>
      <c r="M6" s="265">
        <f>+K6+L6</f>
        <v>43234518804.549995</v>
      </c>
    </row>
    <row r="7" spans="2:13" ht="45">
      <c r="B7" s="137">
        <v>2</v>
      </c>
      <c r="C7" s="125" t="s">
        <v>478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56">
        <v>0</v>
      </c>
      <c r="J7" s="71"/>
      <c r="K7" s="71">
        <f aca="true" t="shared" si="0" ref="K7:K13">SUM(D7:J7)</f>
        <v>0</v>
      </c>
      <c r="L7" s="262"/>
      <c r="M7" s="261">
        <f aca="true" t="shared" si="1" ref="M7:M24">+K7+L7</f>
        <v>0</v>
      </c>
    </row>
    <row r="8" spans="2:13" ht="15">
      <c r="B8" s="137">
        <v>3</v>
      </c>
      <c r="C8" s="126" t="s">
        <v>462</v>
      </c>
      <c r="D8" s="27">
        <f aca="true" t="shared" si="2" ref="D8:J8">+D6</f>
        <v>5226943985</v>
      </c>
      <c r="E8" s="27">
        <f t="shared" si="2"/>
        <v>-16428492</v>
      </c>
      <c r="F8" s="27">
        <f t="shared" si="2"/>
        <v>-106648583</v>
      </c>
      <c r="G8" s="27">
        <f t="shared" si="2"/>
        <v>19334524504</v>
      </c>
      <c r="H8" s="27">
        <f t="shared" si="2"/>
        <v>0</v>
      </c>
      <c r="I8" s="256">
        <f t="shared" si="2"/>
        <v>3712045049</v>
      </c>
      <c r="J8" s="71">
        <f t="shared" si="2"/>
        <v>14784506720.8</v>
      </c>
      <c r="K8" s="71">
        <f>SUM(K6:K7)</f>
        <v>42934943183.8</v>
      </c>
      <c r="L8" s="71">
        <f>SUM(L6:L7)</f>
        <v>299575620.74999577</v>
      </c>
      <c r="M8" s="71">
        <f>SUM(M6:M7)</f>
        <v>43234518804.549995</v>
      </c>
    </row>
    <row r="9" spans="2:13" ht="30">
      <c r="B9" s="137">
        <v>4</v>
      </c>
      <c r="C9" s="125" t="s">
        <v>22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56">
        <v>0</v>
      </c>
      <c r="J9" s="71">
        <v>0</v>
      </c>
      <c r="K9" s="71">
        <f t="shared" si="0"/>
        <v>0</v>
      </c>
      <c r="L9" s="262">
        <v>1051075288.1636418</v>
      </c>
      <c r="M9" s="261">
        <f t="shared" si="1"/>
        <v>1051075288.1636418</v>
      </c>
    </row>
    <row r="10" spans="2:13" ht="15">
      <c r="B10" s="137">
        <v>5</v>
      </c>
      <c r="C10" s="125" t="s">
        <v>23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56">
        <v>0</v>
      </c>
      <c r="J10" s="71">
        <v>0</v>
      </c>
      <c r="K10" s="71">
        <f t="shared" si="0"/>
        <v>0</v>
      </c>
      <c r="L10" s="262"/>
      <c r="M10" s="261">
        <f t="shared" si="1"/>
        <v>0</v>
      </c>
    </row>
    <row r="11" spans="2:13" ht="15">
      <c r="B11" s="137">
        <v>6</v>
      </c>
      <c r="C11" s="125" t="s">
        <v>479</v>
      </c>
      <c r="D11" s="27">
        <v>33000000</v>
      </c>
      <c r="E11" s="27"/>
      <c r="F11" s="27">
        <v>0</v>
      </c>
      <c r="G11" s="27">
        <v>100</v>
      </c>
      <c r="H11" s="27">
        <v>0</v>
      </c>
      <c r="I11" s="256">
        <v>-9124871</v>
      </c>
      <c r="J11" s="71">
        <v>457887674.2</v>
      </c>
      <c r="K11" s="71">
        <f t="shared" si="0"/>
        <v>481762903.2</v>
      </c>
      <c r="L11" s="262"/>
      <c r="M11" s="261">
        <f t="shared" si="1"/>
        <v>481762903.2</v>
      </c>
    </row>
    <row r="12" spans="2:13" ht="15">
      <c r="B12" s="137">
        <v>7</v>
      </c>
      <c r="C12" s="125" t="s">
        <v>480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56">
        <v>0</v>
      </c>
      <c r="J12" s="71">
        <v>0</v>
      </c>
      <c r="K12" s="71">
        <f t="shared" si="0"/>
        <v>0</v>
      </c>
      <c r="L12" s="262"/>
      <c r="M12" s="261">
        <f t="shared" si="1"/>
        <v>0</v>
      </c>
    </row>
    <row r="13" spans="2:13" ht="30">
      <c r="B13" s="137">
        <v>8</v>
      </c>
      <c r="C13" s="125" t="s">
        <v>113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56">
        <v>0</v>
      </c>
      <c r="J13" s="71">
        <v>0</v>
      </c>
      <c r="K13" s="71">
        <f t="shared" si="0"/>
        <v>0</v>
      </c>
      <c r="L13" s="262"/>
      <c r="M13" s="261">
        <f t="shared" si="1"/>
        <v>0</v>
      </c>
    </row>
    <row r="14" spans="2:13" ht="30">
      <c r="B14" s="137">
        <v>9</v>
      </c>
      <c r="C14" s="126" t="s">
        <v>484</v>
      </c>
      <c r="D14" s="225">
        <f aca="true" t="shared" si="3" ref="D14:L14">SUM(D8:D13)</f>
        <v>5259943985</v>
      </c>
      <c r="E14" s="225">
        <f t="shared" si="3"/>
        <v>-16428492</v>
      </c>
      <c r="F14" s="225">
        <f t="shared" si="3"/>
        <v>-106648583</v>
      </c>
      <c r="G14" s="225">
        <f t="shared" si="3"/>
        <v>19334524604</v>
      </c>
      <c r="H14" s="225">
        <f t="shared" si="3"/>
        <v>0</v>
      </c>
      <c r="I14" s="257">
        <f t="shared" si="3"/>
        <v>3702920178</v>
      </c>
      <c r="J14" s="257">
        <f t="shared" si="3"/>
        <v>15242394395</v>
      </c>
      <c r="K14" s="257">
        <f t="shared" si="3"/>
        <v>43416706087</v>
      </c>
      <c r="L14" s="257">
        <f t="shared" si="3"/>
        <v>1350650908.9136376</v>
      </c>
      <c r="M14" s="266">
        <f t="shared" si="1"/>
        <v>44767356995.913635</v>
      </c>
    </row>
    <row r="15" spans="2:13" ht="45">
      <c r="B15" s="137">
        <v>10</v>
      </c>
      <c r="C15" s="125" t="s">
        <v>478</v>
      </c>
      <c r="D15" s="27">
        <v>-1506369085</v>
      </c>
      <c r="E15" s="27">
        <v>0</v>
      </c>
      <c r="F15" s="27">
        <v>0</v>
      </c>
      <c r="G15" s="27">
        <v>0</v>
      </c>
      <c r="H15" s="27">
        <v>0</v>
      </c>
      <c r="I15" s="256">
        <v>616202328.5299997</v>
      </c>
      <c r="J15" s="71">
        <f>-2166473774.84-0.26</f>
        <v>-2166473775.1000004</v>
      </c>
      <c r="K15" s="71">
        <f>SUM(D15:J15)</f>
        <v>-3056640531.5700006</v>
      </c>
      <c r="L15" s="262"/>
      <c r="M15" s="261">
        <f t="shared" si="1"/>
        <v>-3056640531.5700006</v>
      </c>
    </row>
    <row r="16" spans="2:13" ht="19.5" customHeight="1">
      <c r="B16" s="137">
        <v>11</v>
      </c>
      <c r="C16" s="126" t="s">
        <v>462</v>
      </c>
      <c r="D16" s="225">
        <f>+D14+D15</f>
        <v>3753574900</v>
      </c>
      <c r="E16" s="225">
        <f aca="true" t="shared" si="4" ref="E16:K16">+E14+E15</f>
        <v>-16428492</v>
      </c>
      <c r="F16" s="225">
        <f t="shared" si="4"/>
        <v>-106648583</v>
      </c>
      <c r="G16" s="225">
        <f t="shared" si="4"/>
        <v>19334524604</v>
      </c>
      <c r="H16" s="225">
        <f t="shared" si="4"/>
        <v>0</v>
      </c>
      <c r="I16" s="225">
        <f t="shared" si="4"/>
        <v>4319122506.53</v>
      </c>
      <c r="J16" s="225">
        <f t="shared" si="4"/>
        <v>13075920619.9</v>
      </c>
      <c r="K16" s="225">
        <f t="shared" si="4"/>
        <v>40360065555.43</v>
      </c>
      <c r="L16" s="225">
        <f>+L14+L15</f>
        <v>1350650908.9136376</v>
      </c>
      <c r="M16" s="266">
        <f t="shared" si="1"/>
        <v>41710716464.343636</v>
      </c>
    </row>
    <row r="17" spans="2:13" ht="30">
      <c r="B17" s="137">
        <v>12</v>
      </c>
      <c r="C17" s="125" t="s">
        <v>22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56">
        <v>0</v>
      </c>
      <c r="J17" s="71">
        <v>0</v>
      </c>
      <c r="K17" s="71">
        <f>SUM(D17:J17)</f>
        <v>0</v>
      </c>
      <c r="L17" s="264">
        <f>+'income statement'!E31</f>
        <v>276067774.48463476</v>
      </c>
      <c r="M17" s="261">
        <f t="shared" si="1"/>
        <v>276067774.48463476</v>
      </c>
    </row>
    <row r="18" spans="2:13" ht="15">
      <c r="B18" s="137">
        <v>13</v>
      </c>
      <c r="C18" s="125" t="s">
        <v>23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56">
        <v>0</v>
      </c>
      <c r="J18" s="71">
        <v>0</v>
      </c>
      <c r="K18" s="71">
        <f>SUM(D18:J18)</f>
        <v>0</v>
      </c>
      <c r="L18" s="262"/>
      <c r="M18" s="261">
        <f t="shared" si="1"/>
        <v>0</v>
      </c>
    </row>
    <row r="19" spans="2:13" ht="15">
      <c r="B19" s="137">
        <v>14</v>
      </c>
      <c r="C19" s="125" t="s">
        <v>479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56">
        <v>0</v>
      </c>
      <c r="J19" s="71">
        <v>0</v>
      </c>
      <c r="K19" s="71">
        <f>SUM(D19:J19)</f>
        <v>0</v>
      </c>
      <c r="L19" s="262"/>
      <c r="M19" s="261">
        <f t="shared" si="1"/>
        <v>0</v>
      </c>
    </row>
    <row r="20" spans="2:13" ht="15">
      <c r="B20" s="137">
        <v>15</v>
      </c>
      <c r="C20" s="125" t="s">
        <v>480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56">
        <v>0</v>
      </c>
      <c r="J20" s="71">
        <v>0</v>
      </c>
      <c r="K20" s="71">
        <f>SUM(D20:J20)</f>
        <v>0</v>
      </c>
      <c r="L20" s="262"/>
      <c r="M20" s="261">
        <f t="shared" si="1"/>
        <v>0</v>
      </c>
    </row>
    <row r="21" spans="2:13" ht="30">
      <c r="B21" s="137">
        <v>16</v>
      </c>
      <c r="C21" s="125" t="s">
        <v>113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56">
        <v>0</v>
      </c>
      <c r="J21" s="71">
        <v>0</v>
      </c>
      <c r="K21" s="71">
        <f>SUM(D21:J21)</f>
        <v>0</v>
      </c>
      <c r="L21" s="262"/>
      <c r="M21" s="261">
        <f t="shared" si="1"/>
        <v>0</v>
      </c>
    </row>
    <row r="22" spans="2:13" ht="30">
      <c r="B22" s="137">
        <v>17</v>
      </c>
      <c r="C22" s="126" t="s">
        <v>485</v>
      </c>
      <c r="D22" s="225">
        <f aca="true" t="shared" si="5" ref="D22:I22">SUM(D16:D21)</f>
        <v>3753574900</v>
      </c>
      <c r="E22" s="225">
        <f t="shared" si="5"/>
        <v>-16428492</v>
      </c>
      <c r="F22" s="225">
        <f t="shared" si="5"/>
        <v>-106648583</v>
      </c>
      <c r="G22" s="225">
        <f t="shared" si="5"/>
        <v>19334524604</v>
      </c>
      <c r="H22" s="225">
        <f t="shared" si="5"/>
        <v>0</v>
      </c>
      <c r="I22" s="257">
        <f t="shared" si="5"/>
        <v>4319122506.53</v>
      </c>
      <c r="J22" s="263">
        <f>SUM(J16:J21)</f>
        <v>13075920619.9</v>
      </c>
      <c r="K22" s="263">
        <f>SUM(K16:K21)</f>
        <v>40360065555.43</v>
      </c>
      <c r="L22" s="263">
        <f>SUM(L16:L21)</f>
        <v>1626718683.3982725</v>
      </c>
      <c r="M22" s="285">
        <f>+K22+L22</f>
        <v>41986784238.82827</v>
      </c>
    </row>
    <row r="23" spans="2:118" ht="12.75" hidden="1">
      <c r="B23" s="123" t="s">
        <v>209</v>
      </c>
      <c r="C23" s="123" t="s">
        <v>209</v>
      </c>
      <c r="D23" s="226">
        <f>+'balance sheet'!E56</f>
        <v>3753574900</v>
      </c>
      <c r="E23" s="226">
        <f>+'balance sheet'!E58</f>
        <v>-16428492</v>
      </c>
      <c r="F23" s="226">
        <f>+'balance sheet'!D59</f>
        <v>-106648583</v>
      </c>
      <c r="G23" s="226">
        <f>+'balance sheet'!D60</f>
        <v>19334524604</v>
      </c>
      <c r="I23" s="226">
        <f>+'balance sheet'!E62</f>
        <v>4318522506.54</v>
      </c>
      <c r="J23" s="226">
        <f>+'balance sheet'!E63</f>
        <v>13075920620.16</v>
      </c>
      <c r="K23" s="226">
        <f>+'balance sheet'!E67</f>
        <v>44313817651.54672</v>
      </c>
      <c r="L23" s="127">
        <f>+'balance sheet'!E67</f>
        <v>44313817651.54672</v>
      </c>
      <c r="M23" s="286">
        <f t="shared" si="1"/>
        <v>88627635303.09344</v>
      </c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392"/>
    </row>
    <row r="24" spans="4:13" ht="12.75" hidden="1">
      <c r="D24" s="226">
        <f aca="true" t="shared" si="6" ref="D24:K24">+D23-D22</f>
        <v>0</v>
      </c>
      <c r="E24" s="226">
        <f t="shared" si="6"/>
        <v>0</v>
      </c>
      <c r="F24" s="226">
        <f t="shared" si="6"/>
        <v>0</v>
      </c>
      <c r="G24" s="226">
        <f t="shared" si="6"/>
        <v>0</v>
      </c>
      <c r="H24" s="226">
        <f t="shared" si="6"/>
        <v>0</v>
      </c>
      <c r="I24" s="226">
        <f t="shared" si="6"/>
        <v>-599999.9899997711</v>
      </c>
      <c r="J24" s="226">
        <f t="shared" si="6"/>
        <v>0.26000022888183594</v>
      </c>
      <c r="K24" s="226">
        <f t="shared" si="6"/>
        <v>3953752096.116722</v>
      </c>
      <c r="L24" s="127"/>
      <c r="M24" s="286">
        <f t="shared" si="1"/>
        <v>3953752096.116722</v>
      </c>
    </row>
    <row r="25" spans="12:13" ht="12.75">
      <c r="L25" s="127"/>
      <c r="M25" s="226">
        <f>+'balance sheet'!E67</f>
        <v>44313817651.54672</v>
      </c>
    </row>
    <row r="26" spans="3:13" ht="15">
      <c r="C26" s="128"/>
      <c r="E26" s="393" t="s">
        <v>482</v>
      </c>
      <c r="F26" s="393"/>
      <c r="G26" s="393"/>
      <c r="M26" s="226">
        <f>+M25-M22</f>
        <v>2327033412.7184525</v>
      </c>
    </row>
    <row r="27" spans="3:7" ht="15">
      <c r="C27" s="138"/>
      <c r="E27" s="393" t="s">
        <v>481</v>
      </c>
      <c r="F27" s="393"/>
      <c r="G27" s="393"/>
    </row>
  </sheetData>
  <sheetProtection/>
  <mergeCells count="5">
    <mergeCell ref="BN23:DN23"/>
    <mergeCell ref="E26:G26"/>
    <mergeCell ref="E27:G27"/>
    <mergeCell ref="B3:D3"/>
    <mergeCell ref="J2:K2"/>
  </mergeCells>
  <printOptions/>
  <pageMargins left="0" right="0" top="0.38" bottom="1" header="0.5" footer="0.5"/>
  <pageSetup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C2:D16"/>
  <sheetViews>
    <sheetView zoomScalePageLayoutView="0" workbookViewId="0" topLeftCell="A1">
      <selection activeCell="D15" sqref="D15"/>
    </sheetView>
  </sheetViews>
  <sheetFormatPr defaultColWidth="8.8515625" defaultRowHeight="15"/>
  <cols>
    <col min="1" max="2" width="8.8515625" style="0" customWidth="1"/>
    <col min="3" max="3" width="57.421875" style="0" customWidth="1"/>
    <col min="4" max="4" width="20.7109375" style="0" customWidth="1"/>
    <col min="5" max="5" width="16.00390625" style="0" customWidth="1"/>
  </cols>
  <sheetData>
    <row r="2" ht="15">
      <c r="D2" s="159"/>
    </row>
    <row r="3" spans="3:4" ht="15">
      <c r="C3" s="160" t="s">
        <v>43</v>
      </c>
      <c r="D3" s="159">
        <v>3664088030</v>
      </c>
    </row>
    <row r="4" spans="3:4" ht="15">
      <c r="C4" s="160" t="s">
        <v>45</v>
      </c>
      <c r="D4" s="159">
        <v>805667970</v>
      </c>
    </row>
    <row r="5" spans="3:4" ht="15">
      <c r="C5" s="160" t="s">
        <v>47</v>
      </c>
      <c r="D5" s="159">
        <v>10859690127</v>
      </c>
    </row>
    <row r="6" spans="3:4" ht="15">
      <c r="C6" s="160" t="s">
        <v>49</v>
      </c>
      <c r="D6" s="159">
        <v>1267939168</v>
      </c>
    </row>
    <row r="7" spans="3:4" ht="15">
      <c r="C7" s="160" t="s">
        <v>51</v>
      </c>
      <c r="D7" s="159">
        <v>1381218423</v>
      </c>
    </row>
    <row r="8" spans="3:4" ht="15">
      <c r="C8" s="160" t="s">
        <v>53</v>
      </c>
      <c r="D8" s="159">
        <v>2025176256</v>
      </c>
    </row>
    <row r="9" spans="3:4" ht="15">
      <c r="C9" s="160" t="s">
        <v>55</v>
      </c>
      <c r="D9" s="159">
        <v>837419472</v>
      </c>
    </row>
    <row r="10" spans="3:4" ht="15">
      <c r="C10" s="160" t="s">
        <v>59</v>
      </c>
      <c r="D10" s="159">
        <v>713400223.16</v>
      </c>
    </row>
    <row r="11" spans="3:4" ht="15">
      <c r="C11" s="160" t="s">
        <v>588</v>
      </c>
      <c r="D11" s="159">
        <v>4516033741</v>
      </c>
    </row>
    <row r="12" spans="3:4" ht="15">
      <c r="C12" s="160" t="s">
        <v>589</v>
      </c>
      <c r="D12" s="159">
        <v>4385022495</v>
      </c>
    </row>
    <row r="13" spans="3:4" ht="15">
      <c r="C13" s="161"/>
      <c r="D13" s="162">
        <f>SUM(D3:D12)</f>
        <v>30455655905.16</v>
      </c>
    </row>
    <row r="14" spans="3:4" ht="15">
      <c r="C14" s="160"/>
      <c r="D14" s="159"/>
    </row>
    <row r="15" ht="15">
      <c r="C15" s="160"/>
    </row>
    <row r="16" ht="15">
      <c r="C16" s="16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E6:N29"/>
  <sheetViews>
    <sheetView zoomScalePageLayoutView="0" workbookViewId="0" topLeftCell="A10">
      <selection activeCell="G17" sqref="G17"/>
    </sheetView>
  </sheetViews>
  <sheetFormatPr defaultColWidth="8.8515625" defaultRowHeight="15"/>
  <cols>
    <col min="1" max="4" width="8.8515625" style="0" customWidth="1"/>
    <col min="5" max="5" width="22.140625" style="0" customWidth="1"/>
    <col min="6" max="9" width="15.421875" style="0" customWidth="1"/>
  </cols>
  <sheetData>
    <row r="5" ht="15.75" thickBot="1"/>
    <row r="6" spans="5:14" ht="16.5" thickBot="1">
      <c r="E6" s="399" t="s">
        <v>19</v>
      </c>
      <c r="F6" s="142" t="s">
        <v>487</v>
      </c>
      <c r="G6" s="401" t="s">
        <v>488</v>
      </c>
      <c r="H6" s="402"/>
      <c r="I6" s="402"/>
      <c r="J6" s="402"/>
      <c r="K6" s="403"/>
      <c r="L6" s="404" t="s">
        <v>489</v>
      </c>
      <c r="M6" s="405"/>
      <c r="N6" s="406"/>
    </row>
    <row r="7" spans="5:14" ht="25.5" thickBot="1" thickTop="1">
      <c r="E7" s="400"/>
      <c r="F7" s="143" t="s">
        <v>490</v>
      </c>
      <c r="G7" s="144" t="s">
        <v>491</v>
      </c>
      <c r="H7" s="144" t="s">
        <v>490</v>
      </c>
      <c r="I7" s="407" t="s">
        <v>492</v>
      </c>
      <c r="J7" s="408"/>
      <c r="K7" s="144" t="s">
        <v>493</v>
      </c>
      <c r="L7" s="144" t="s">
        <v>491</v>
      </c>
      <c r="M7" s="407" t="s">
        <v>494</v>
      </c>
      <c r="N7" s="408"/>
    </row>
    <row r="8" spans="5:14" ht="24.75" thickBot="1" thickTop="1">
      <c r="E8" s="145"/>
      <c r="F8" s="146"/>
      <c r="G8" s="146"/>
      <c r="H8" s="146"/>
      <c r="I8" s="147" t="s">
        <v>280</v>
      </c>
      <c r="J8" s="147" t="s">
        <v>495</v>
      </c>
      <c r="K8" s="146"/>
      <c r="L8" s="146"/>
      <c r="M8" s="147" t="s">
        <v>280</v>
      </c>
      <c r="N8" s="147" t="s">
        <v>495</v>
      </c>
    </row>
    <row r="9" spans="5:14" ht="24.75" thickBot="1">
      <c r="E9" s="148" t="s">
        <v>496</v>
      </c>
      <c r="F9" s="148" t="s">
        <v>497</v>
      </c>
      <c r="G9" s="148" t="s">
        <v>498</v>
      </c>
      <c r="H9" s="148" t="s">
        <v>499</v>
      </c>
      <c r="I9" s="148" t="s">
        <v>500</v>
      </c>
      <c r="J9" s="149">
        <v>0.8903</v>
      </c>
      <c r="K9" s="149">
        <v>1.0055</v>
      </c>
      <c r="L9" s="148" t="s">
        <v>501</v>
      </c>
      <c r="M9" s="148" t="s">
        <v>502</v>
      </c>
      <c r="N9" s="149">
        <v>2.1003</v>
      </c>
    </row>
    <row r="10" spans="5:14" ht="24.75" thickBot="1">
      <c r="E10" s="147" t="s">
        <v>503</v>
      </c>
      <c r="F10" s="146"/>
      <c r="G10" s="146"/>
      <c r="H10" s="146"/>
      <c r="I10" s="146"/>
      <c r="J10" s="146"/>
      <c r="K10" s="146"/>
      <c r="L10" s="147" t="s">
        <v>504</v>
      </c>
      <c r="M10" s="147" t="s">
        <v>504</v>
      </c>
      <c r="N10" s="146"/>
    </row>
    <row r="11" spans="5:14" ht="24.75" thickBot="1">
      <c r="E11" s="148" t="s">
        <v>21</v>
      </c>
      <c r="F11" s="148" t="s">
        <v>505</v>
      </c>
      <c r="G11" s="148" t="s">
        <v>506</v>
      </c>
      <c r="H11" s="148" t="s">
        <v>507</v>
      </c>
      <c r="I11" s="148" t="s">
        <v>508</v>
      </c>
      <c r="J11" s="149">
        <v>0.9982</v>
      </c>
      <c r="K11" s="149">
        <v>0.7858</v>
      </c>
      <c r="L11" s="148" t="s">
        <v>509</v>
      </c>
      <c r="M11" s="148" t="s">
        <v>510</v>
      </c>
      <c r="N11" s="149">
        <v>0.7186</v>
      </c>
    </row>
    <row r="12" spans="5:14" ht="24.75" thickBot="1">
      <c r="E12" s="147" t="s">
        <v>511</v>
      </c>
      <c r="F12" s="147" t="s">
        <v>512</v>
      </c>
      <c r="G12" s="147" t="s">
        <v>513</v>
      </c>
      <c r="H12" s="147" t="s">
        <v>514</v>
      </c>
      <c r="I12" s="147" t="s">
        <v>515</v>
      </c>
      <c r="J12" s="150">
        <v>0.7905</v>
      </c>
      <c r="K12" s="150">
        <v>1.4143</v>
      </c>
      <c r="L12" s="147" t="s">
        <v>516</v>
      </c>
      <c r="M12" s="147" t="s">
        <v>517</v>
      </c>
      <c r="N12" s="150">
        <v>0.3296</v>
      </c>
    </row>
    <row r="13" spans="5:14" ht="24.75" thickBot="1">
      <c r="E13" s="148" t="s">
        <v>518</v>
      </c>
      <c r="F13" s="148" t="s">
        <v>519</v>
      </c>
      <c r="G13" s="148" t="s">
        <v>520</v>
      </c>
      <c r="H13" s="148" t="s">
        <v>521</v>
      </c>
      <c r="I13" s="148" t="s">
        <v>522</v>
      </c>
      <c r="J13" s="149">
        <v>0.6144</v>
      </c>
      <c r="K13" s="149">
        <v>1.2525</v>
      </c>
      <c r="L13" s="148" t="s">
        <v>523</v>
      </c>
      <c r="M13" s="148" t="s">
        <v>524</v>
      </c>
      <c r="N13" s="149">
        <v>2.1102</v>
      </c>
    </row>
    <row r="14" spans="5:14" ht="24.75" thickBot="1">
      <c r="E14" s="147" t="s">
        <v>525</v>
      </c>
      <c r="F14" s="147" t="s">
        <v>526</v>
      </c>
      <c r="G14" s="147" t="s">
        <v>527</v>
      </c>
      <c r="H14" s="147" t="s">
        <v>528</v>
      </c>
      <c r="I14" s="147" t="s">
        <v>529</v>
      </c>
      <c r="J14" s="150">
        <v>0.9899</v>
      </c>
      <c r="K14" s="150">
        <v>0.9506</v>
      </c>
      <c r="L14" s="147" t="s">
        <v>530</v>
      </c>
      <c r="M14" s="147" t="s">
        <v>531</v>
      </c>
      <c r="N14" s="150">
        <v>2.0974</v>
      </c>
    </row>
    <row r="15" spans="5:14" ht="24.75" thickBot="1">
      <c r="E15" s="148" t="s">
        <v>532</v>
      </c>
      <c r="F15" s="148" t="s">
        <v>533</v>
      </c>
      <c r="G15" s="148" t="s">
        <v>534</v>
      </c>
      <c r="H15" s="148" t="s">
        <v>535</v>
      </c>
      <c r="I15" s="148" t="s">
        <v>536</v>
      </c>
      <c r="J15" s="149">
        <v>1.6871</v>
      </c>
      <c r="K15" s="149">
        <v>1.1594</v>
      </c>
      <c r="L15" s="148" t="s">
        <v>537</v>
      </c>
      <c r="M15" s="148" t="s">
        <v>538</v>
      </c>
      <c r="N15" s="149">
        <v>1.046</v>
      </c>
    </row>
    <row r="16" spans="5:14" ht="24.75" thickBot="1">
      <c r="E16" s="147" t="s">
        <v>539</v>
      </c>
      <c r="F16" s="147" t="s">
        <v>540</v>
      </c>
      <c r="G16" s="147" t="s">
        <v>541</v>
      </c>
      <c r="H16" s="147" t="s">
        <v>542</v>
      </c>
      <c r="I16" s="147" t="s">
        <v>543</v>
      </c>
      <c r="J16" s="150">
        <v>0.2744</v>
      </c>
      <c r="K16" s="150">
        <v>0.8808</v>
      </c>
      <c r="L16" s="147" t="s">
        <v>544</v>
      </c>
      <c r="M16" s="147" t="s">
        <v>545</v>
      </c>
      <c r="N16" s="150">
        <v>3.6078</v>
      </c>
    </row>
    <row r="17" spans="5:14" ht="24.75" thickBot="1">
      <c r="E17" s="148" t="s">
        <v>546</v>
      </c>
      <c r="F17" s="148" t="s">
        <v>547</v>
      </c>
      <c r="G17" s="148" t="s">
        <v>548</v>
      </c>
      <c r="H17" s="148" t="s">
        <v>549</v>
      </c>
      <c r="I17" s="148" t="s">
        <v>550</v>
      </c>
      <c r="J17" s="149">
        <v>0.2744</v>
      </c>
      <c r="K17" s="149">
        <v>0.8808</v>
      </c>
      <c r="L17" s="148" t="s">
        <v>551</v>
      </c>
      <c r="M17" s="148" t="s">
        <v>552</v>
      </c>
      <c r="N17" s="149">
        <v>3.6078</v>
      </c>
    </row>
    <row r="18" spans="5:14" ht="24.75" thickBot="1">
      <c r="E18" s="147" t="s">
        <v>553</v>
      </c>
      <c r="F18" s="147" t="s">
        <v>533</v>
      </c>
      <c r="G18" s="147" t="s">
        <v>534</v>
      </c>
      <c r="H18" s="147" t="s">
        <v>535</v>
      </c>
      <c r="I18" s="147" t="s">
        <v>536</v>
      </c>
      <c r="J18" s="150">
        <v>1.6871</v>
      </c>
      <c r="K18" s="150">
        <v>1.1594</v>
      </c>
      <c r="L18" s="147" t="s">
        <v>537</v>
      </c>
      <c r="M18" s="147" t="s">
        <v>538</v>
      </c>
      <c r="N18" s="150">
        <v>1.046</v>
      </c>
    </row>
    <row r="19" spans="5:14" ht="24.75" thickBot="1">
      <c r="E19" s="148" t="s">
        <v>554</v>
      </c>
      <c r="F19" s="148">
        <v>0.39</v>
      </c>
      <c r="G19" s="148">
        <v>0.48</v>
      </c>
      <c r="H19" s="148">
        <v>0.56</v>
      </c>
      <c r="I19" s="148">
        <v>0.74</v>
      </c>
      <c r="J19" s="149">
        <v>0.0212</v>
      </c>
      <c r="K19" s="149">
        <v>0.0115</v>
      </c>
      <c r="L19" s="148">
        <v>0.37</v>
      </c>
      <c r="M19" s="148">
        <v>0.28</v>
      </c>
      <c r="N19" s="149">
        <v>0.0023</v>
      </c>
    </row>
    <row r="20" spans="5:14" ht="15.75" thickBot="1">
      <c r="E20" s="396" t="s">
        <v>555</v>
      </c>
      <c r="F20" s="397"/>
      <c r="G20" s="397"/>
      <c r="H20" s="397"/>
      <c r="I20" s="397"/>
      <c r="J20" s="397"/>
      <c r="K20" s="397"/>
      <c r="L20" s="397"/>
      <c r="M20" s="397"/>
      <c r="N20" s="398"/>
    </row>
    <row r="21" spans="5:14" ht="24" thickBot="1">
      <c r="E21" s="148" t="s">
        <v>556</v>
      </c>
      <c r="F21" s="151"/>
      <c r="G21" s="148">
        <v>9867</v>
      </c>
      <c r="H21" s="148" t="s">
        <v>557</v>
      </c>
      <c r="I21" s="151"/>
      <c r="J21" s="151"/>
      <c r="K21" s="152">
        <v>1.53</v>
      </c>
      <c r="L21" s="148" t="s">
        <v>558</v>
      </c>
      <c r="M21" s="148">
        <v>6541.96</v>
      </c>
      <c r="N21" s="149">
        <v>0.4333</v>
      </c>
    </row>
    <row r="22" spans="5:14" ht="24" thickBot="1">
      <c r="E22" s="147" t="s">
        <v>559</v>
      </c>
      <c r="F22" s="146"/>
      <c r="G22" s="147">
        <v>9867</v>
      </c>
      <c r="H22" s="147" t="s">
        <v>560</v>
      </c>
      <c r="I22" s="146"/>
      <c r="J22" s="146"/>
      <c r="K22" s="153">
        <v>1.17</v>
      </c>
      <c r="L22" s="147" t="s">
        <v>558</v>
      </c>
      <c r="M22" s="147" t="s">
        <v>561</v>
      </c>
      <c r="N22" s="150">
        <v>0.8812</v>
      </c>
    </row>
    <row r="23" spans="5:14" ht="24" thickBot="1">
      <c r="E23" s="148" t="s">
        <v>562</v>
      </c>
      <c r="F23" s="151"/>
      <c r="G23" s="148" t="s">
        <v>563</v>
      </c>
      <c r="H23" s="148" t="s">
        <v>564</v>
      </c>
      <c r="I23" s="151"/>
      <c r="J23" s="151"/>
      <c r="K23" s="152">
        <v>1.11</v>
      </c>
      <c r="L23" s="148" t="s">
        <v>565</v>
      </c>
      <c r="M23" s="148" t="s">
        <v>566</v>
      </c>
      <c r="N23" s="149">
        <v>1.4617</v>
      </c>
    </row>
    <row r="24" spans="5:14" ht="24" thickBot="1">
      <c r="E24" s="147" t="s">
        <v>567</v>
      </c>
      <c r="F24" s="146"/>
      <c r="G24" s="147">
        <v>12</v>
      </c>
      <c r="H24" s="147">
        <v>12</v>
      </c>
      <c r="I24" s="146"/>
      <c r="J24" s="146"/>
      <c r="K24" s="153">
        <v>1</v>
      </c>
      <c r="L24" s="147">
        <v>43</v>
      </c>
      <c r="M24" s="147">
        <v>31</v>
      </c>
      <c r="N24" s="150">
        <v>2.5833</v>
      </c>
    </row>
    <row r="25" spans="5:14" ht="24.75" thickBot="1">
      <c r="E25" s="148" t="s">
        <v>568</v>
      </c>
      <c r="F25" s="151"/>
      <c r="G25" s="148" t="s">
        <v>569</v>
      </c>
      <c r="H25" s="148" t="s">
        <v>570</v>
      </c>
      <c r="I25" s="151"/>
      <c r="J25" s="151"/>
      <c r="K25" s="151"/>
      <c r="L25" s="148" t="s">
        <v>571</v>
      </c>
      <c r="M25" s="148" t="s">
        <v>572</v>
      </c>
      <c r="N25" s="149">
        <v>1.0094</v>
      </c>
    </row>
    <row r="26" spans="5:14" ht="24" thickBot="1">
      <c r="E26" s="147" t="s">
        <v>573</v>
      </c>
      <c r="F26" s="146"/>
      <c r="G26" s="147" t="s">
        <v>574</v>
      </c>
      <c r="H26" s="147" t="s">
        <v>575</v>
      </c>
      <c r="I26" s="146"/>
      <c r="J26" s="146"/>
      <c r="K26" s="153">
        <v>0.79</v>
      </c>
      <c r="L26" s="146"/>
      <c r="M26" s="146"/>
      <c r="N26" s="146"/>
    </row>
    <row r="27" spans="5:14" ht="24" thickBot="1">
      <c r="E27" s="148" t="s">
        <v>576</v>
      </c>
      <c r="F27" s="148" t="s">
        <v>577</v>
      </c>
      <c r="G27" s="151"/>
      <c r="H27" s="148" t="s">
        <v>578</v>
      </c>
      <c r="I27" s="148" t="s">
        <v>579</v>
      </c>
      <c r="J27" s="152">
        <v>63.16</v>
      </c>
      <c r="K27" s="151"/>
      <c r="L27" s="151"/>
      <c r="M27" s="151"/>
      <c r="N27" s="151"/>
    </row>
    <row r="28" spans="5:14" ht="24" thickBot="1">
      <c r="E28" s="147" t="s">
        <v>580</v>
      </c>
      <c r="F28" s="147" t="s">
        <v>581</v>
      </c>
      <c r="G28" s="146"/>
      <c r="H28" s="147" t="s">
        <v>582</v>
      </c>
      <c r="I28" s="147" t="s">
        <v>583</v>
      </c>
      <c r="J28" s="153">
        <v>0.94</v>
      </c>
      <c r="K28" s="146"/>
      <c r="L28" s="146"/>
      <c r="M28" s="146"/>
      <c r="N28" s="146"/>
    </row>
    <row r="29" spans="5:14" ht="24.75" thickBot="1">
      <c r="E29" s="154" t="s">
        <v>584</v>
      </c>
      <c r="F29" s="148" t="s">
        <v>585</v>
      </c>
      <c r="G29" s="151"/>
      <c r="H29" s="148" t="s">
        <v>586</v>
      </c>
      <c r="I29" s="148" t="s">
        <v>587</v>
      </c>
      <c r="J29" s="152">
        <v>0.38</v>
      </c>
      <c r="K29" s="151"/>
      <c r="L29" s="151"/>
      <c r="M29" s="151"/>
      <c r="N29" s="151"/>
    </row>
  </sheetData>
  <sheetProtection/>
  <mergeCells count="6">
    <mergeCell ref="E20:N20"/>
    <mergeCell ref="E6:E7"/>
    <mergeCell ref="G6:K6"/>
    <mergeCell ref="L6:N6"/>
    <mergeCell ref="I7:J7"/>
    <mergeCell ref="M7:N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">
      <pane xSplit="2" ySplit="7" topLeftCell="C15" activePane="bottomRight" state="frozen"/>
      <selection pane="topLeft" activeCell="A2" sqref="A2"/>
      <selection pane="topRight" activeCell="C2" sqref="C2"/>
      <selection pane="bottomLeft" activeCell="A9" sqref="A9"/>
      <selection pane="bottomRight" activeCell="B37" sqref="B37"/>
    </sheetView>
  </sheetViews>
  <sheetFormatPr defaultColWidth="9.140625" defaultRowHeight="15"/>
  <cols>
    <col min="1" max="1" width="3.140625" style="95" customWidth="1"/>
    <col min="2" max="2" width="55.28125" style="95" customWidth="1"/>
    <col min="3" max="4" width="16.7109375" style="97" customWidth="1"/>
    <col min="5" max="5" width="15.421875" style="97" customWidth="1"/>
    <col min="6" max="6" width="14.00390625" style="97" customWidth="1"/>
    <col min="7" max="7" width="18.140625" style="97" customWidth="1"/>
    <col min="8" max="8" width="17.00390625" style="97" customWidth="1"/>
    <col min="9" max="9" width="20.140625" style="97" customWidth="1"/>
    <col min="10" max="10" width="19.00390625" style="97" customWidth="1"/>
    <col min="11" max="11" width="17.28125" style="95" bestFit="1" customWidth="1"/>
    <col min="12" max="16384" width="11.421875" style="95" customWidth="1"/>
  </cols>
  <sheetData>
    <row r="1" spans="1:10" ht="18.75">
      <c r="A1" s="410" t="s">
        <v>450</v>
      </c>
      <c r="B1" s="410"/>
      <c r="C1" s="410"/>
      <c r="D1" s="410"/>
      <c r="E1" s="410"/>
      <c r="F1" s="410"/>
      <c r="G1" s="410"/>
      <c r="H1" s="410"/>
      <c r="I1" s="410"/>
      <c r="J1" s="410"/>
    </row>
    <row r="2" ht="15" customHeight="1">
      <c r="A2" s="96"/>
    </row>
    <row r="3" spans="1:10" ht="15" customHeight="1">
      <c r="A3" s="98"/>
      <c r="B3" s="99" t="str">
        <f>'[9]CT-2-9'!C3</f>
        <v>         "Äàðõàí Íýõèé" ÕÊ</v>
      </c>
      <c r="C3" s="11"/>
      <c r="D3" s="11"/>
      <c r="E3" s="11"/>
      <c r="F3" s="11"/>
      <c r="G3" s="11"/>
      <c r="H3" s="411" t="s">
        <v>451</v>
      </c>
      <c r="I3" s="411"/>
      <c r="J3" s="411"/>
    </row>
    <row r="4" spans="1:10" ht="15" customHeight="1">
      <c r="A4" s="98" t="str">
        <f>'[9]CT-2-9'!B4</f>
        <v>( Аж ахуйн нэгж, байгууллагын нэр )</v>
      </c>
      <c r="B4" s="100"/>
      <c r="C4" s="11">
        <f>+C5-C9</f>
        <v>22736528.55000019</v>
      </c>
      <c r="D4" s="11"/>
      <c r="E4" s="11"/>
      <c r="F4" s="11"/>
      <c r="G4" s="11"/>
      <c r="H4" s="11">
        <f>+H5-H9</f>
        <v>-22736528.549999714</v>
      </c>
      <c r="I4" s="11">
        <f>+I5-I9</f>
        <v>299575620.95000076</v>
      </c>
      <c r="J4" s="11"/>
    </row>
    <row r="5" spans="1:10" ht="15" customHeight="1">
      <c r="A5" s="100"/>
      <c r="B5" s="100"/>
      <c r="C5" s="11">
        <f>+'[10]CT-01'!AD68+'[10]CT-01'!AD69</f>
        <v>5249680513.13</v>
      </c>
      <c r="D5" s="11">
        <f>+'[10]CT-01'!AD71</f>
        <v>-16428491.6</v>
      </c>
      <c r="E5" s="11">
        <f>+'[10]CT-01'!AD72</f>
        <v>-106648582.98</v>
      </c>
      <c r="F5" s="11"/>
      <c r="G5" s="11">
        <f>+'[10]CT-01'!AD73</f>
        <v>19334524603.971615</v>
      </c>
      <c r="H5" s="11">
        <f>+'[10]CT-01'!AD75</f>
        <v>3690308525.53</v>
      </c>
      <c r="I5" s="11">
        <f>+'[10]CT-01'!AD76+'[10]CT-01'!AD77</f>
        <v>14783506664.627602</v>
      </c>
      <c r="J5" s="101" t="s">
        <v>1</v>
      </c>
    </row>
    <row r="6" spans="1:10" s="102" customFormat="1" ht="15" customHeight="1">
      <c r="A6" s="412"/>
      <c r="B6" s="412" t="s">
        <v>452</v>
      </c>
      <c r="C6" s="409" t="s">
        <v>453</v>
      </c>
      <c r="D6" s="413" t="s">
        <v>454</v>
      </c>
      <c r="E6" s="413" t="s">
        <v>455</v>
      </c>
      <c r="F6" s="409" t="s">
        <v>17</v>
      </c>
      <c r="G6" s="409" t="s">
        <v>456</v>
      </c>
      <c r="H6" s="409" t="s">
        <v>457</v>
      </c>
      <c r="I6" s="409" t="s">
        <v>458</v>
      </c>
      <c r="J6" s="409" t="s">
        <v>459</v>
      </c>
    </row>
    <row r="7" spans="1:10" s="102" customFormat="1" ht="15" customHeight="1">
      <c r="A7" s="412"/>
      <c r="B7" s="412"/>
      <c r="C7" s="409"/>
      <c r="D7" s="414"/>
      <c r="E7" s="414"/>
      <c r="F7" s="409"/>
      <c r="G7" s="409"/>
      <c r="H7" s="409"/>
      <c r="I7" s="409"/>
      <c r="J7" s="409"/>
    </row>
    <row r="8" spans="1:10" s="102" customFormat="1" ht="12.75" customHeight="1">
      <c r="A8" s="412"/>
      <c r="B8" s="412"/>
      <c r="C8" s="409"/>
      <c r="D8" s="415"/>
      <c r="E8" s="415"/>
      <c r="F8" s="409"/>
      <c r="G8" s="409"/>
      <c r="H8" s="409"/>
      <c r="I8" s="409"/>
      <c r="J8" s="409"/>
    </row>
    <row r="9" spans="1:11" ht="15" customHeight="1">
      <c r="A9" s="103">
        <v>1</v>
      </c>
      <c r="B9" s="104" t="s">
        <v>460</v>
      </c>
      <c r="C9" s="105">
        <v>5226943984.58</v>
      </c>
      <c r="D9" s="105">
        <v>-16428491.6</v>
      </c>
      <c r="E9" s="105">
        <v>-106648582.98</v>
      </c>
      <c r="F9" s="105">
        <v>-4.656612873077393E-10</v>
      </c>
      <c r="G9" s="105">
        <v>19334524603.792248</v>
      </c>
      <c r="H9" s="105">
        <v>3713045054.08</v>
      </c>
      <c r="I9" s="105">
        <v>14483931043.6776</v>
      </c>
      <c r="J9" s="106">
        <f>SUM(C9:I9)</f>
        <v>42635367611.54985</v>
      </c>
      <c r="K9" s="107">
        <f>+J9-'[10]CT-01'!AD79</f>
        <v>-299575621.129364</v>
      </c>
    </row>
    <row r="10" spans="1:10" ht="15" customHeight="1">
      <c r="A10" s="103">
        <v>2</v>
      </c>
      <c r="B10" s="108" t="s">
        <v>461</v>
      </c>
      <c r="C10" s="105"/>
      <c r="D10" s="105"/>
      <c r="E10" s="105"/>
      <c r="F10" s="105"/>
      <c r="G10" s="105"/>
      <c r="H10" s="105"/>
      <c r="I10" s="105"/>
      <c r="J10" s="106">
        <f aca="true" t="shared" si="0" ref="J10:J18">SUM(C10:I10)</f>
        <v>0</v>
      </c>
    </row>
    <row r="11" spans="1:10" ht="15" customHeight="1">
      <c r="A11" s="109">
        <v>3</v>
      </c>
      <c r="B11" s="110" t="s">
        <v>462</v>
      </c>
      <c r="C11" s="106"/>
      <c r="D11" s="106"/>
      <c r="E11" s="106"/>
      <c r="F11" s="106"/>
      <c r="G11" s="106"/>
      <c r="H11" s="106"/>
      <c r="I11" s="106"/>
      <c r="J11" s="106">
        <f>SUM(C11:I11)</f>
        <v>0</v>
      </c>
    </row>
    <row r="12" spans="1:10" ht="15" customHeight="1">
      <c r="A12" s="103">
        <v>4</v>
      </c>
      <c r="B12" s="108" t="s">
        <v>463</v>
      </c>
      <c r="C12" s="105"/>
      <c r="D12" s="105"/>
      <c r="E12" s="105"/>
      <c r="F12" s="105"/>
      <c r="G12" s="105"/>
      <c r="H12" s="105"/>
      <c r="I12" s="105"/>
      <c r="J12" s="106">
        <f t="shared" si="0"/>
        <v>0</v>
      </c>
    </row>
    <row r="13" spans="1:10" ht="27.75" customHeight="1">
      <c r="A13" s="103">
        <v>5</v>
      </c>
      <c r="B13" s="108" t="s">
        <v>464</v>
      </c>
      <c r="C13" s="105"/>
      <c r="D13" s="105"/>
      <c r="E13" s="105"/>
      <c r="F13" s="105"/>
      <c r="G13" s="105"/>
      <c r="H13" s="105"/>
      <c r="I13" s="105"/>
      <c r="J13" s="106">
        <f>SUM(C13:I13)</f>
        <v>0</v>
      </c>
    </row>
    <row r="14" spans="1:10" ht="15" customHeight="1">
      <c r="A14" s="103">
        <v>6</v>
      </c>
      <c r="B14" s="108" t="s">
        <v>14</v>
      </c>
      <c r="C14" s="105"/>
      <c r="D14" s="105"/>
      <c r="E14" s="105"/>
      <c r="F14" s="105"/>
      <c r="G14" s="105"/>
      <c r="H14" s="105"/>
      <c r="I14" s="105"/>
      <c r="J14" s="106">
        <f t="shared" si="0"/>
        <v>0</v>
      </c>
    </row>
    <row r="15" spans="1:10" ht="15" customHeight="1">
      <c r="A15" s="103">
        <v>7</v>
      </c>
      <c r="B15" s="108" t="s">
        <v>465</v>
      </c>
      <c r="C15" s="105"/>
      <c r="D15" s="105"/>
      <c r="E15" s="105"/>
      <c r="F15" s="105"/>
      <c r="G15" s="105"/>
      <c r="H15" s="105"/>
      <c r="I15" s="105"/>
      <c r="J15" s="106">
        <f>SUM(C15:I15)</f>
        <v>0</v>
      </c>
    </row>
    <row r="16" spans="1:10" ht="15" customHeight="1">
      <c r="A16" s="103">
        <v>8</v>
      </c>
      <c r="B16" s="108" t="s">
        <v>466</v>
      </c>
      <c r="C16" s="105"/>
      <c r="D16" s="105"/>
      <c r="E16" s="105"/>
      <c r="F16" s="105"/>
      <c r="G16" s="105"/>
      <c r="H16" s="105"/>
      <c r="I16" s="105"/>
      <c r="J16" s="106">
        <f t="shared" si="0"/>
        <v>0</v>
      </c>
    </row>
    <row r="17" spans="1:10" ht="15" customHeight="1">
      <c r="A17" s="103">
        <v>9</v>
      </c>
      <c r="B17" s="108" t="s">
        <v>467</v>
      </c>
      <c r="C17" s="105"/>
      <c r="D17" s="105"/>
      <c r="E17" s="105"/>
      <c r="F17" s="105"/>
      <c r="G17" s="105"/>
      <c r="H17" s="105"/>
      <c r="I17" s="105"/>
      <c r="J17" s="106">
        <f t="shared" si="0"/>
        <v>0</v>
      </c>
    </row>
    <row r="18" spans="1:10" ht="15" customHeight="1">
      <c r="A18" s="103">
        <v>10</v>
      </c>
      <c r="B18" s="108" t="s">
        <v>468</v>
      </c>
      <c r="C18" s="105"/>
      <c r="D18" s="105"/>
      <c r="E18" s="105"/>
      <c r="F18" s="105"/>
      <c r="G18" s="105"/>
      <c r="H18" s="105"/>
      <c r="I18" s="105"/>
      <c r="J18" s="106">
        <f t="shared" si="0"/>
        <v>0</v>
      </c>
    </row>
    <row r="19" spans="1:10" ht="15" customHeight="1">
      <c r="A19" s="109">
        <v>11</v>
      </c>
      <c r="B19" s="104" t="s">
        <v>469</v>
      </c>
      <c r="C19" s="111">
        <f>SUM(C9:C18)</f>
        <v>5226943984.58</v>
      </c>
      <c r="D19" s="111">
        <f aca="true" t="shared" si="1" ref="D19:J19">SUM(D9:D18)</f>
        <v>-16428491.6</v>
      </c>
      <c r="E19" s="111">
        <f t="shared" si="1"/>
        <v>-106648582.98</v>
      </c>
      <c r="F19" s="111">
        <f t="shared" si="1"/>
        <v>-4.656612873077393E-10</v>
      </c>
      <c r="G19" s="111">
        <f t="shared" si="1"/>
        <v>19334524603.792248</v>
      </c>
      <c r="H19" s="111">
        <f>SUM(H9:H18)</f>
        <v>3713045054.08</v>
      </c>
      <c r="I19" s="111">
        <f>SUM(I9:I18)</f>
        <v>14483931043.6776</v>
      </c>
      <c r="J19" s="111">
        <f t="shared" si="1"/>
        <v>42635367611.54985</v>
      </c>
    </row>
    <row r="20" spans="1:10" ht="15" customHeight="1">
      <c r="A20" s="103">
        <v>12</v>
      </c>
      <c r="B20" s="108" t="s">
        <v>470</v>
      </c>
      <c r="C20" s="105"/>
      <c r="D20" s="105"/>
      <c r="E20" s="105"/>
      <c r="F20" s="105"/>
      <c r="G20" s="105"/>
      <c r="H20" s="105">
        <f>-10124876+33000000</f>
        <v>22875124</v>
      </c>
      <c r="I20" s="105">
        <v>-292611936.1</v>
      </c>
      <c r="J20" s="106">
        <f>SUM(C20:I20)</f>
        <v>-269736812.1</v>
      </c>
    </row>
    <row r="21" spans="1:10" ht="15" customHeight="1">
      <c r="A21" s="109">
        <v>13</v>
      </c>
      <c r="B21" s="110" t="s">
        <v>462</v>
      </c>
      <c r="C21" s="106"/>
      <c r="D21" s="106"/>
      <c r="E21" s="106"/>
      <c r="F21" s="106"/>
      <c r="G21" s="106"/>
      <c r="H21" s="106"/>
      <c r="I21" s="106"/>
      <c r="J21" s="106">
        <f aca="true" t="shared" si="2" ref="J21:J28">SUM(C21:I21)</f>
        <v>0</v>
      </c>
    </row>
    <row r="22" spans="1:10" ht="15" customHeight="1">
      <c r="A22" s="103">
        <v>14</v>
      </c>
      <c r="B22" s="108" t="s">
        <v>463</v>
      </c>
      <c r="C22" s="105"/>
      <c r="D22" s="105"/>
      <c r="E22" s="105"/>
      <c r="F22" s="105"/>
      <c r="G22" s="105"/>
      <c r="H22" s="105"/>
      <c r="I22" s="105"/>
      <c r="J22" s="106">
        <f t="shared" si="2"/>
        <v>0</v>
      </c>
    </row>
    <row r="23" spans="1:10" ht="19.5" customHeight="1">
      <c r="A23" s="103">
        <v>15</v>
      </c>
      <c r="B23" s="108" t="s">
        <v>464</v>
      </c>
      <c r="C23" s="105"/>
      <c r="D23" s="105"/>
      <c r="E23" s="105"/>
      <c r="F23" s="105"/>
      <c r="G23" s="105"/>
      <c r="H23" s="105"/>
      <c r="I23" s="105"/>
      <c r="J23" s="106">
        <f t="shared" si="2"/>
        <v>0</v>
      </c>
    </row>
    <row r="24" spans="1:10" ht="15" customHeight="1">
      <c r="A24" s="103">
        <v>16</v>
      </c>
      <c r="B24" s="108" t="s">
        <v>471</v>
      </c>
      <c r="C24" s="105"/>
      <c r="D24" s="105"/>
      <c r="E24" s="105"/>
      <c r="F24" s="105"/>
      <c r="G24" s="105"/>
      <c r="H24" s="105"/>
      <c r="I24" s="105"/>
      <c r="J24" s="106">
        <f t="shared" si="2"/>
        <v>0</v>
      </c>
    </row>
    <row r="25" spans="1:10" ht="15" customHeight="1">
      <c r="A25" s="103">
        <v>17</v>
      </c>
      <c r="B25" s="108" t="s">
        <v>465</v>
      </c>
      <c r="C25" s="105"/>
      <c r="D25" s="105"/>
      <c r="E25" s="105"/>
      <c r="F25" s="105"/>
      <c r="G25" s="105"/>
      <c r="H25" s="105"/>
      <c r="I25" s="105"/>
      <c r="J25" s="106">
        <f t="shared" si="2"/>
        <v>0</v>
      </c>
    </row>
    <row r="26" spans="1:10" ht="15" customHeight="1">
      <c r="A26" s="103">
        <v>18</v>
      </c>
      <c r="B26" s="108" t="s">
        <v>466</v>
      </c>
      <c r="C26" s="105"/>
      <c r="D26" s="105"/>
      <c r="E26" s="105"/>
      <c r="F26" s="105"/>
      <c r="G26" s="105"/>
      <c r="H26" s="105"/>
      <c r="I26" s="105">
        <f>+'income statement'!E29</f>
        <v>276067774.48463476</v>
      </c>
      <c r="J26" s="106">
        <f>SUM(C26:I26)</f>
        <v>276067774.48463476</v>
      </c>
    </row>
    <row r="27" spans="1:10" ht="15" customHeight="1">
      <c r="A27" s="103">
        <v>19</v>
      </c>
      <c r="B27" s="108" t="s">
        <v>467</v>
      </c>
      <c r="C27" s="105"/>
      <c r="D27" s="105"/>
      <c r="E27" s="105"/>
      <c r="F27" s="105"/>
      <c r="G27" s="105"/>
      <c r="H27" s="105"/>
      <c r="I27" s="105"/>
      <c r="J27" s="106">
        <f t="shared" si="2"/>
        <v>0</v>
      </c>
    </row>
    <row r="28" spans="1:10" ht="15" customHeight="1">
      <c r="A28" s="103">
        <v>20</v>
      </c>
      <c r="B28" s="108" t="s">
        <v>468</v>
      </c>
      <c r="C28" s="105"/>
      <c r="D28" s="105"/>
      <c r="E28" s="105"/>
      <c r="F28" s="105"/>
      <c r="G28" s="105"/>
      <c r="H28" s="105"/>
      <c r="I28" s="105"/>
      <c r="J28" s="106">
        <f t="shared" si="2"/>
        <v>0</v>
      </c>
    </row>
    <row r="29" spans="1:10" ht="15" customHeight="1">
      <c r="A29" s="112">
        <v>21</v>
      </c>
      <c r="B29" s="104" t="s">
        <v>472</v>
      </c>
      <c r="C29" s="111">
        <f aca="true" t="shared" si="3" ref="C29:H29">+C19+C24+C20+C28</f>
        <v>5226943984.58</v>
      </c>
      <c r="D29" s="111">
        <f t="shared" si="3"/>
        <v>-16428491.6</v>
      </c>
      <c r="E29" s="111">
        <f t="shared" si="3"/>
        <v>-106648582.98</v>
      </c>
      <c r="F29" s="111">
        <f t="shared" si="3"/>
        <v>-4.656612873077393E-10</v>
      </c>
      <c r="G29" s="111">
        <f t="shared" si="3"/>
        <v>19334524603.792248</v>
      </c>
      <c r="H29" s="111">
        <f t="shared" si="3"/>
        <v>3735920178.08</v>
      </c>
      <c r="I29" s="111">
        <f>+I19+I24+I20+I28+I26</f>
        <v>14467386882.062235</v>
      </c>
      <c r="J29" s="111">
        <f>+J19+J24+J20+J28+J26</f>
        <v>42641698573.93449</v>
      </c>
    </row>
    <row r="30" spans="1:10" ht="15" customHeight="1">
      <c r="A30" s="113"/>
      <c r="B30" s="100"/>
      <c r="C30" s="11">
        <f>+'[10]CT-01'!AK68+'[10]CT-01'!AK69</f>
        <v>5259943.98479</v>
      </c>
      <c r="D30" s="11"/>
      <c r="E30" s="11">
        <f>+E29-'[10]CT-01'!AE72</f>
        <v>0</v>
      </c>
      <c r="F30" s="11" t="e">
        <f>+F29-#REF!</f>
        <v>#REF!</v>
      </c>
      <c r="G30" s="114">
        <f>+G29-'[10]CT-01'!AE73</f>
        <v>-0.17775344848632812</v>
      </c>
      <c r="H30" s="11">
        <f>+'[10]CT-01'!AE75</f>
        <v>3702920178.25</v>
      </c>
      <c r="I30" s="11">
        <f>+I29-'[10]CT-01'!AE76-'[10]CT-01'!AE77</f>
        <v>-775007513.4977648</v>
      </c>
      <c r="J30" s="115">
        <f>+J29-'[10]CT-01'!AE79</f>
        <v>-775007513.6555176</v>
      </c>
    </row>
    <row r="31" spans="1:10" ht="15" customHeight="1">
      <c r="A31" s="113"/>
      <c r="B31" s="100"/>
      <c r="C31" s="11"/>
      <c r="D31" s="11"/>
      <c r="E31" s="11"/>
      <c r="F31" s="11"/>
      <c r="G31" s="114"/>
      <c r="H31" s="11">
        <f>+H29-H30</f>
        <v>32999999.829999924</v>
      </c>
      <c r="I31" s="11">
        <f>+'[10]CT-01'!AE76+'[10]CT-01'!AE77</f>
        <v>15242394395.56</v>
      </c>
      <c r="J31" s="11"/>
    </row>
    <row r="32" spans="1:10" s="118" customFormat="1" ht="15">
      <c r="A32" s="116"/>
      <c r="B32" s="116"/>
      <c r="C32" s="117" t="s">
        <v>473</v>
      </c>
      <c r="D32" s="117"/>
      <c r="E32" s="117"/>
      <c r="F32" s="117"/>
      <c r="G32" s="117"/>
      <c r="H32" s="117"/>
      <c r="I32" s="117">
        <f>+I29-I31</f>
        <v>-775007513.4977646</v>
      </c>
      <c r="J32" s="117"/>
    </row>
    <row r="33" spans="3:10" s="118" customFormat="1" ht="15">
      <c r="C33" s="119"/>
      <c r="D33" s="119"/>
      <c r="E33" s="119"/>
      <c r="F33" s="119"/>
      <c r="G33" s="119"/>
      <c r="H33" s="119"/>
      <c r="I33" s="119"/>
      <c r="J33" s="119"/>
    </row>
    <row r="34" spans="3:10" s="118" customFormat="1" ht="15.75">
      <c r="C34" s="120" t="s">
        <v>474</v>
      </c>
      <c r="D34" s="120"/>
      <c r="E34" s="120"/>
      <c r="F34" s="119"/>
      <c r="G34" s="119"/>
      <c r="H34" s="119"/>
      <c r="I34" s="119"/>
      <c r="J34" s="119"/>
    </row>
    <row r="35" spans="3:11" ht="15">
      <c r="C35" s="121"/>
      <c r="D35" s="121"/>
      <c r="E35" s="121"/>
      <c r="F35" s="121"/>
      <c r="G35" s="121"/>
      <c r="H35" s="121"/>
      <c r="I35" s="121"/>
      <c r="J35" s="107"/>
      <c r="K35" s="107"/>
    </row>
    <row r="36" spans="3:10" ht="15">
      <c r="C36" s="121"/>
      <c r="D36" s="121"/>
      <c r="E36" s="121"/>
      <c r="F36" s="121"/>
      <c r="G36" s="121"/>
      <c r="H36" s="121"/>
      <c r="I36" s="121"/>
      <c r="J36" s="107"/>
    </row>
  </sheetData>
  <sheetProtection/>
  <mergeCells count="12">
    <mergeCell ref="E6:E8"/>
    <mergeCell ref="F6:F8"/>
    <mergeCell ref="G6:G8"/>
    <mergeCell ref="H6:H8"/>
    <mergeCell ref="I6:I8"/>
    <mergeCell ref="J6:J8"/>
    <mergeCell ref="A1:J1"/>
    <mergeCell ref="H3:J3"/>
    <mergeCell ref="A6:A8"/>
    <mergeCell ref="B6:B8"/>
    <mergeCell ref="C6:C8"/>
    <mergeCell ref="D6:D8"/>
  </mergeCells>
  <printOptions/>
  <pageMargins left="0.22" right="0.14" top="1.07" bottom="0.37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Жавхлан</cp:lastModifiedBy>
  <cp:lastPrinted>2020-07-09T10:38:04Z</cp:lastPrinted>
  <dcterms:created xsi:type="dcterms:W3CDTF">2017-01-24T05:36:23Z</dcterms:created>
  <dcterms:modified xsi:type="dcterms:W3CDTF">2020-08-24T02:24:23Z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