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7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'Sheet1'!$A$1:$O$78</definedName>
  </definedNames>
  <calcPr calcId="152511"/>
</workbook>
</file>

<file path=xl/sharedStrings.xml><?xml version="1.0" encoding="utf-8"?>
<sst xmlns="http://schemas.openxmlformats.org/spreadsheetml/2006/main" count="228" uniqueCount="139">
  <si>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</si>
  <si>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</si>
  <si>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</si>
  <si>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</si>
  <si>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</si>
  <si>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</si>
  <si>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</si>
  <si>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</si>
  <si>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</si>
  <si>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</si>
  <si>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</si>
  <si>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</si>
  <si>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</si>
  <si>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</si>
  <si>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</si>
  <si>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</si>
  <si>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</si>
  <si>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</si>
  <si>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</si>
  <si>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</si>
  <si>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</si>
  <si>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</si>
  <si>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</si>
  <si>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</si>
  <si>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</si>
  <si>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</si>
  <si>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</si>
  <si>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</si>
  <si>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</si>
  <si>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</si>
  <si>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</si>
  <si>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</si>
  <si>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</si>
  <si>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</si>
  <si>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</si>
  <si>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</si>
  <si>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</si>
  <si>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</si>
  <si>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</si>
  <si>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</si>
  <si>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</si>
  <si>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</si>
  <si>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</si>
  <si>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</si>
  <si>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</si>
  <si>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</si>
  <si>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</si>
  <si>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</si>
  <si>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</si>
  <si>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</si>
  <si>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</si>
  <si>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</si>
  <si>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</si>
  <si>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</si>
  <si>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</si>
  <si>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</si>
  <si>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</si>
  <si>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</si>
  <si>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</si>
  <si>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</si>
  <si>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</si>
  <si>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</si>
  <si>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</si>
  <si>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</si>
  <si>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</si>
  <si>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</si>
  <si>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</si>
  <si>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</si>
  <si>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</si>
  <si>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</si>
  <si>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</si>
  <si>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</si>
  <si>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</si>
  <si>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</si>
  <si>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</si>
  <si>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</si>
  <si>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</si>
  <si>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</si>
  <si>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</si>
  <si>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</si>
  <si>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</si>
  <si>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</si>
  <si>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</si>
  <si>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</si>
  <si>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</si>
  <si>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</si>
  <si>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</si>
  <si>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</si>
  <si>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</si>
  <si>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</si>
  <si>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</si>
  <si>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</si>
  <si>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</si>
  <si>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</si>
  <si>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</si>
  <si>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</si>
  <si>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</si>
  <si>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</si>
  <si>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</si>
  <si>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</si>
  <si>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</si>
  <si>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</si>
  <si>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</si>
  <si>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</si>
  <si>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</si>
  <si>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</si>
  <si>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</si>
  <si>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</si>
  <si>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</si>
  <si>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</si>
  <si>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</si>
  <si>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</si>
  <si>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</si>
  <si>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</si>
  <si>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</si>
  <si>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</si>
  <si>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</si>
  <si>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</si>
  <si>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</si>
  <si>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</si>
  <si>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</si>
  <si>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</si>
  <si>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</si>
  <si>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</si>
  <si>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</si>
  <si>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</si>
  <si>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</si>
  <si>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</si>
  <si>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</si>
  <si>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</si>
  <si>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</si>
  <si>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</si>
  <si>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</si>
  <si>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</si>
  <si>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</si>
  <si>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</si>
  <si>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</si>
  <si>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10-р сарын арилжааны дүн</t>
  </si>
  <si>
    <t xml:space="preserve">2018 оны 10 дугаар сарын 31-ний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</si>
</sst>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2" fillId="4" borderId="1" xfId="18" applyFont="1" applyFill="1" applyBorder="1" applyAlignment="1">
      <alignment horizontal="center" vertical="center"/>
    </xf>
    <xf numFmtId="43" fontId="8" fillId="4" borderId="4" xfId="18" applyFont="1" applyFill="1" applyBorder="1" applyAlignment="1">
      <alignment horizontal="center" vertical="center"/>
    </xf>
    <xf numFmtId="9" fontId="8" fillId="4" borderId="4" xfId="15" applyFont="1" applyFill="1" applyBorder="1" applyAlignment="1">
      <alignment horizontal="center" vertical="center"/>
    </xf>
    <xf numFmtId="165" fontId="2" fillId="4" borderId="6" xfId="15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37385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7.62\Members\&#1040;&#1088;&#1080;&#1083;&#1078;&#1072;&#1072;&#1085;&#1099;%20&#1090;&#1072;&#1081;&#1083;&#1072;&#1085;\2018\Mnth18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7.62\Members\&#1040;&#1088;&#1080;&#1083;&#1078;&#1072;&#1072;&#1085;&#1099;%20&#1090;&#1072;&#1081;&#1083;&#1072;&#1085;\2018\Mnth180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72482</v>
          </cell>
          <cell r="E10">
            <v>63039816.55</v>
          </cell>
          <cell r="F10">
            <v>2777</v>
          </cell>
          <cell r="G10">
            <v>7969569</v>
          </cell>
          <cell r="H10">
            <v>71009385.55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100</v>
          </cell>
          <cell r="E11">
            <v>58000</v>
          </cell>
          <cell r="F11">
            <v>8993</v>
          </cell>
          <cell r="G11">
            <v>22681656.2</v>
          </cell>
          <cell r="H11">
            <v>22739656.2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52209</v>
          </cell>
          <cell r="E12">
            <v>85297430.16</v>
          </cell>
          <cell r="F12">
            <v>69593</v>
          </cell>
          <cell r="G12">
            <v>43290121.2</v>
          </cell>
          <cell r="H12">
            <v>128587551.36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64</v>
          </cell>
          <cell r="E13">
            <v>23333.8</v>
          </cell>
          <cell r="F13">
            <v>95</v>
          </cell>
          <cell r="G13">
            <v>679500</v>
          </cell>
          <cell r="H13">
            <v>702833.8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241708</v>
          </cell>
          <cell r="E14">
            <v>60252015</v>
          </cell>
          <cell r="F14">
            <v>13700</v>
          </cell>
          <cell r="G14">
            <v>10082741</v>
          </cell>
          <cell r="H14">
            <v>70334756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10916426</v>
          </cell>
          <cell r="E16">
            <v>1023089247.5400001</v>
          </cell>
          <cell r="F16">
            <v>11256597</v>
          </cell>
          <cell r="G16">
            <v>1404971355.41</v>
          </cell>
          <cell r="H16">
            <v>2428060602.9500003</v>
          </cell>
          <cell r="S16">
            <v>0</v>
          </cell>
          <cell r="T16">
            <v>0</v>
          </cell>
          <cell r="U16">
            <v>5</v>
          </cell>
          <cell r="V16">
            <v>515000</v>
          </cell>
          <cell r="W16">
            <v>515000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36300</v>
          </cell>
          <cell r="E18">
            <v>25171062</v>
          </cell>
          <cell r="F18">
            <v>313009</v>
          </cell>
          <cell r="G18">
            <v>23520998.09</v>
          </cell>
          <cell r="H18">
            <v>48692060.09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145994</v>
          </cell>
          <cell r="E19">
            <v>30921580</v>
          </cell>
          <cell r="F19">
            <v>22311</v>
          </cell>
          <cell r="G19">
            <v>16471844.19</v>
          </cell>
          <cell r="H19">
            <v>47393424.19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1569</v>
          </cell>
          <cell r="E21">
            <v>7901660</v>
          </cell>
          <cell r="F21">
            <v>10582</v>
          </cell>
          <cell r="G21">
            <v>18129320</v>
          </cell>
          <cell r="H21">
            <v>26030980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1205522</v>
          </cell>
          <cell r="E22">
            <v>434635780.03</v>
          </cell>
          <cell r="F22">
            <v>1291565</v>
          </cell>
          <cell r="G22">
            <v>382155274.86</v>
          </cell>
          <cell r="H22">
            <v>816791054.89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9587276</v>
          </cell>
          <cell r="E23">
            <v>710011763.12</v>
          </cell>
          <cell r="F23">
            <v>8995804</v>
          </cell>
          <cell r="G23">
            <v>1167738085.48</v>
          </cell>
          <cell r="H23">
            <v>1877749848.6</v>
          </cell>
          <cell r="S23">
            <v>13685</v>
          </cell>
          <cell r="T23">
            <v>1426908990</v>
          </cell>
          <cell r="U23">
            <v>13017</v>
          </cell>
          <cell r="V23">
            <v>1358502790</v>
          </cell>
          <cell r="W23">
            <v>2785411780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1538</v>
          </cell>
          <cell r="E26">
            <v>1803540</v>
          </cell>
          <cell r="F26">
            <v>29177</v>
          </cell>
          <cell r="G26">
            <v>22468989</v>
          </cell>
          <cell r="H26">
            <v>24272529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2461</v>
          </cell>
          <cell r="E28">
            <v>4937603</v>
          </cell>
          <cell r="F28">
            <v>12177</v>
          </cell>
          <cell r="G28">
            <v>2236240</v>
          </cell>
          <cell r="H28">
            <v>7173843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267</v>
          </cell>
          <cell r="E29">
            <v>176948</v>
          </cell>
          <cell r="F29">
            <v>14499</v>
          </cell>
          <cell r="G29">
            <v>2500428.5</v>
          </cell>
          <cell r="H29">
            <v>2677376.5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3039</v>
          </cell>
          <cell r="E33">
            <v>1946310</v>
          </cell>
          <cell r="F33">
            <v>0</v>
          </cell>
          <cell r="G33">
            <v>0</v>
          </cell>
          <cell r="H33">
            <v>1946310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370387</v>
          </cell>
          <cell r="E34">
            <v>153081330.94</v>
          </cell>
          <cell r="F34">
            <v>371614</v>
          </cell>
          <cell r="G34">
            <v>87299185.98</v>
          </cell>
          <cell r="H34">
            <v>240380516.92000002</v>
          </cell>
          <cell r="S34">
            <v>408</v>
          </cell>
          <cell r="T34">
            <v>41011500</v>
          </cell>
          <cell r="U34">
            <v>408</v>
          </cell>
          <cell r="V34">
            <v>41011500</v>
          </cell>
          <cell r="W34">
            <v>82023000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77880</v>
          </cell>
          <cell r="E35">
            <v>63243742</v>
          </cell>
          <cell r="F35">
            <v>0</v>
          </cell>
          <cell r="G35">
            <v>0</v>
          </cell>
          <cell r="H35">
            <v>63243742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44241</v>
          </cell>
          <cell r="E36">
            <v>77990465.22</v>
          </cell>
          <cell r="F36">
            <v>199138</v>
          </cell>
          <cell r="G36">
            <v>95516526</v>
          </cell>
          <cell r="H36">
            <v>173506991.22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1014909</v>
          </cell>
          <cell r="E37">
            <v>1487281720.84</v>
          </cell>
          <cell r="F37">
            <v>1795348</v>
          </cell>
          <cell r="G37">
            <v>645028059.56</v>
          </cell>
          <cell r="H37">
            <v>2132309780.3999999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6888</v>
          </cell>
          <cell r="E38">
            <v>37620840</v>
          </cell>
          <cell r="F38">
            <v>64358</v>
          </cell>
          <cell r="G38">
            <v>47292814</v>
          </cell>
          <cell r="H38">
            <v>84913654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1864</v>
          </cell>
          <cell r="E40">
            <v>10274279.7</v>
          </cell>
          <cell r="F40">
            <v>44127</v>
          </cell>
          <cell r="G40">
            <v>108421259</v>
          </cell>
          <cell r="H40">
            <v>118695538.7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301</v>
          </cell>
          <cell r="E42">
            <v>263912</v>
          </cell>
          <cell r="F42">
            <v>11671</v>
          </cell>
          <cell r="G42">
            <v>6734864</v>
          </cell>
          <cell r="H42">
            <v>6998776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485</v>
          </cell>
          <cell r="E43">
            <v>3585125</v>
          </cell>
          <cell r="F43">
            <v>8951</v>
          </cell>
          <cell r="G43">
            <v>8149977.5</v>
          </cell>
          <cell r="H43">
            <v>11735102.5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2570</v>
          </cell>
          <cell r="E44">
            <v>4121000</v>
          </cell>
          <cell r="F44">
            <v>11443</v>
          </cell>
          <cell r="G44">
            <v>25369890</v>
          </cell>
          <cell r="H44">
            <v>29490890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10260</v>
          </cell>
          <cell r="G45">
            <v>8464980</v>
          </cell>
          <cell r="H45">
            <v>8464980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1827753</v>
          </cell>
          <cell r="E46">
            <v>1298885904.45</v>
          </cell>
          <cell r="F46">
            <v>931481</v>
          </cell>
          <cell r="G46">
            <v>729378733.55</v>
          </cell>
          <cell r="H46">
            <v>2028264638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13555</v>
          </cell>
          <cell r="E48">
            <v>2713768.2</v>
          </cell>
          <cell r="F48">
            <v>2426</v>
          </cell>
          <cell r="G48">
            <v>1868020</v>
          </cell>
          <cell r="H48">
            <v>4581788.2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94715</v>
          </cell>
          <cell r="E49">
            <v>57587228.52</v>
          </cell>
          <cell r="F49">
            <v>79342</v>
          </cell>
          <cell r="G49">
            <v>45831690.5</v>
          </cell>
          <cell r="H49">
            <v>103418919.02000001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1138147</v>
          </cell>
          <cell r="E51">
            <v>247310750.29</v>
          </cell>
          <cell r="F51">
            <v>518698</v>
          </cell>
          <cell r="G51">
            <v>356532819.2</v>
          </cell>
          <cell r="H51">
            <v>603843569.49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2481</v>
          </cell>
          <cell r="E52">
            <v>3339010</v>
          </cell>
          <cell r="F52">
            <v>4142</v>
          </cell>
          <cell r="G52">
            <v>6181451</v>
          </cell>
          <cell r="H52">
            <v>9520461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8178</v>
          </cell>
          <cell r="E54">
            <v>1866100</v>
          </cell>
          <cell r="F54">
            <v>21588</v>
          </cell>
          <cell r="G54">
            <v>12217440.5</v>
          </cell>
          <cell r="H54">
            <v>14083540.5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SECP</v>
          </cell>
          <cell r="C55" t="str">
            <v>СИКАП</v>
          </cell>
          <cell r="D55">
            <v>15000</v>
          </cell>
          <cell r="E55">
            <v>976500</v>
          </cell>
          <cell r="F55">
            <v>0</v>
          </cell>
          <cell r="G55">
            <v>0</v>
          </cell>
          <cell r="H55">
            <v>976500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8262</v>
          </cell>
          <cell r="E57">
            <v>4156578</v>
          </cell>
          <cell r="F57">
            <v>1250</v>
          </cell>
          <cell r="G57">
            <v>19670287</v>
          </cell>
          <cell r="H57">
            <v>23826865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8189418</v>
          </cell>
          <cell r="E58">
            <v>1244594320.15</v>
          </cell>
          <cell r="F58">
            <v>8527707</v>
          </cell>
          <cell r="G58">
            <v>1760027371.42</v>
          </cell>
          <cell r="H58">
            <v>3004621691.57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485</v>
          </cell>
          <cell r="E59">
            <v>1328050</v>
          </cell>
          <cell r="F59">
            <v>2381</v>
          </cell>
          <cell r="G59">
            <v>19599035</v>
          </cell>
          <cell r="H59">
            <v>20927085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862</v>
          </cell>
          <cell r="E60">
            <v>20111987.7</v>
          </cell>
          <cell r="F60">
            <v>24150</v>
          </cell>
          <cell r="G60">
            <v>42976506.37</v>
          </cell>
          <cell r="H60">
            <v>63088494.06999999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1231263</v>
          </cell>
          <cell r="E61">
            <v>370018421.45</v>
          </cell>
          <cell r="F61">
            <v>1688974</v>
          </cell>
          <cell r="G61">
            <v>375884642.21</v>
          </cell>
          <cell r="H61">
            <v>745903063.66</v>
          </cell>
          <cell r="S61">
            <v>1</v>
          </cell>
          <cell r="T61">
            <v>103000</v>
          </cell>
          <cell r="U61">
            <v>664</v>
          </cell>
          <cell r="V61">
            <v>67994200</v>
          </cell>
          <cell r="W61">
            <v>68097200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2923</v>
          </cell>
          <cell r="E62">
            <v>2947659.32</v>
          </cell>
          <cell r="F62">
            <v>2602</v>
          </cell>
          <cell r="G62">
            <v>3727002</v>
          </cell>
          <cell r="H62">
            <v>6674661.32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136247</v>
          </cell>
          <cell r="E63">
            <v>61510108.15</v>
          </cell>
          <cell r="F63">
            <v>109883</v>
          </cell>
          <cell r="G63">
            <v>67899052.6</v>
          </cell>
          <cell r="H63">
            <v>129409160.75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384</v>
          </cell>
          <cell r="E64">
            <v>3095950</v>
          </cell>
          <cell r="F64">
            <v>2995</v>
          </cell>
          <cell r="G64">
            <v>20505476</v>
          </cell>
          <cell r="H64">
            <v>23601426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81573</v>
          </cell>
          <cell r="E67">
            <v>46333995.19</v>
          </cell>
          <cell r="F67">
            <v>62318</v>
          </cell>
          <cell r="G67">
            <v>34031630</v>
          </cell>
          <cell r="H67">
            <v>80365625.19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162950</v>
          </cell>
          <cell r="G11">
            <v>71120900</v>
          </cell>
          <cell r="H11">
            <v>71120900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65912</v>
          </cell>
          <cell r="E12">
            <v>12296867.28</v>
          </cell>
          <cell r="F12">
            <v>158807</v>
          </cell>
          <cell r="G12">
            <v>67925046.56</v>
          </cell>
          <cell r="H12">
            <v>80221913.84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856</v>
          </cell>
          <cell r="G13">
            <v>1223632</v>
          </cell>
          <cell r="H13">
            <v>1223632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19708</v>
          </cell>
          <cell r="E14">
            <v>1228097</v>
          </cell>
          <cell r="F14">
            <v>73165</v>
          </cell>
          <cell r="G14">
            <v>6379855.5</v>
          </cell>
          <cell r="H14">
            <v>7607952.5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6206494</v>
          </cell>
          <cell r="E16">
            <v>1203041461</v>
          </cell>
          <cell r="F16">
            <v>5900721</v>
          </cell>
          <cell r="G16">
            <v>1163750608</v>
          </cell>
          <cell r="H16">
            <v>2366792069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36187</v>
          </cell>
          <cell r="E19">
            <v>14512505.5</v>
          </cell>
          <cell r="F19">
            <v>7916</v>
          </cell>
          <cell r="G19">
            <v>11794840</v>
          </cell>
          <cell r="H19">
            <v>26307345.5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BSK</v>
          </cell>
          <cell r="C20" t="str">
            <v>BLUE SKY</v>
          </cell>
          <cell r="D20">
            <v>5870</v>
          </cell>
          <cell r="E20">
            <v>3568416</v>
          </cell>
          <cell r="F20">
            <v>3776</v>
          </cell>
          <cell r="G20">
            <v>316500.07</v>
          </cell>
          <cell r="H20">
            <v>3884916.07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0</v>
          </cell>
          <cell r="E21">
            <v>0</v>
          </cell>
          <cell r="F21">
            <v>22226</v>
          </cell>
          <cell r="G21">
            <v>3196246</v>
          </cell>
          <cell r="H21">
            <v>3196246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849103</v>
          </cell>
          <cell r="E22">
            <v>125925755</v>
          </cell>
          <cell r="F22">
            <v>691881</v>
          </cell>
          <cell r="G22">
            <v>187047421.9</v>
          </cell>
          <cell r="H22">
            <v>312973176.9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5376472</v>
          </cell>
          <cell r="E23">
            <v>361549964.9</v>
          </cell>
          <cell r="F23">
            <v>5582141</v>
          </cell>
          <cell r="G23">
            <v>372842747.7</v>
          </cell>
          <cell r="H23">
            <v>734392712.5999999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20</v>
          </cell>
          <cell r="E26">
            <v>440000</v>
          </cell>
          <cell r="F26">
            <v>36202</v>
          </cell>
          <cell r="G26">
            <v>3219844.5</v>
          </cell>
          <cell r="H26">
            <v>3659844.5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10186</v>
          </cell>
          <cell r="E28">
            <v>6419587</v>
          </cell>
          <cell r="F28">
            <v>14525</v>
          </cell>
          <cell r="G28">
            <v>4900486</v>
          </cell>
          <cell r="H28">
            <v>11320073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40210</v>
          </cell>
          <cell r="E29">
            <v>6152201.6</v>
          </cell>
          <cell r="F29">
            <v>20469</v>
          </cell>
          <cell r="G29">
            <v>7924361.6</v>
          </cell>
          <cell r="H29">
            <v>14076563.2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896138</v>
          </cell>
          <cell r="E34">
            <v>172009371.5</v>
          </cell>
          <cell r="F34">
            <v>383636</v>
          </cell>
          <cell r="G34">
            <v>123954744.8</v>
          </cell>
          <cell r="H34">
            <v>295964116.3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66</v>
          </cell>
          <cell r="E36">
            <v>31225</v>
          </cell>
          <cell r="F36">
            <v>20842</v>
          </cell>
          <cell r="G36">
            <v>6916934.2</v>
          </cell>
          <cell r="H36">
            <v>6948159.2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1953542</v>
          </cell>
          <cell r="E37">
            <v>371653081.2</v>
          </cell>
          <cell r="F37">
            <v>1114614</v>
          </cell>
          <cell r="G37">
            <v>168854464.4</v>
          </cell>
          <cell r="H37">
            <v>540507545.6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4382</v>
          </cell>
          <cell r="E38">
            <v>15823620</v>
          </cell>
          <cell r="F38">
            <v>16266</v>
          </cell>
          <cell r="G38">
            <v>9539290</v>
          </cell>
          <cell r="H38">
            <v>25362910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40428</v>
          </cell>
          <cell r="E40">
            <v>30071760</v>
          </cell>
          <cell r="F40">
            <v>69749</v>
          </cell>
          <cell r="G40">
            <v>14436492</v>
          </cell>
          <cell r="H40">
            <v>44508252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35454</v>
          </cell>
          <cell r="E42">
            <v>2973607</v>
          </cell>
          <cell r="F42">
            <v>6400</v>
          </cell>
          <cell r="G42">
            <v>736000</v>
          </cell>
          <cell r="H42">
            <v>3709607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10037</v>
          </cell>
          <cell r="G43">
            <v>6509526.5</v>
          </cell>
          <cell r="H43">
            <v>6509526.5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</v>
          </cell>
          <cell r="G44">
            <v>1845</v>
          </cell>
          <cell r="H44">
            <v>1845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6500</v>
          </cell>
          <cell r="E45">
            <v>481050</v>
          </cell>
          <cell r="F45">
            <v>0</v>
          </cell>
          <cell r="G45">
            <v>0</v>
          </cell>
          <cell r="H45">
            <v>481050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903974</v>
          </cell>
          <cell r="E46">
            <v>407148668.4</v>
          </cell>
          <cell r="F46">
            <v>556723</v>
          </cell>
          <cell r="G46">
            <v>337924185.3</v>
          </cell>
          <cell r="H46">
            <v>745072853.7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100</v>
          </cell>
          <cell r="E47">
            <v>40500</v>
          </cell>
          <cell r="F47">
            <v>165</v>
          </cell>
          <cell r="G47">
            <v>66500</v>
          </cell>
          <cell r="H47">
            <v>107000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9596</v>
          </cell>
          <cell r="E48">
            <v>672473</v>
          </cell>
          <cell r="F48">
            <v>3650</v>
          </cell>
          <cell r="G48">
            <v>1870358</v>
          </cell>
          <cell r="H48">
            <v>2542831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49932</v>
          </cell>
          <cell r="E49">
            <v>12582902.2</v>
          </cell>
          <cell r="F49">
            <v>42053</v>
          </cell>
          <cell r="G49">
            <v>22088650.2</v>
          </cell>
          <cell r="H49">
            <v>34671552.4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328696</v>
          </cell>
          <cell r="E51">
            <v>61607897.86</v>
          </cell>
          <cell r="F51">
            <v>631710</v>
          </cell>
          <cell r="G51">
            <v>90321703.31</v>
          </cell>
          <cell r="H51">
            <v>151929601.17000002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2981</v>
          </cell>
          <cell r="E52">
            <v>925250</v>
          </cell>
          <cell r="F52">
            <v>2419</v>
          </cell>
          <cell r="G52">
            <v>882940</v>
          </cell>
          <cell r="H52">
            <v>1808190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9366</v>
          </cell>
          <cell r="E54">
            <v>2054444</v>
          </cell>
          <cell r="F54">
            <v>23707</v>
          </cell>
          <cell r="G54">
            <v>15579372</v>
          </cell>
          <cell r="H54">
            <v>17633816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4547</v>
          </cell>
          <cell r="G55">
            <v>2682730</v>
          </cell>
          <cell r="H55">
            <v>2682730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13422</v>
          </cell>
          <cell r="E57">
            <v>1054595</v>
          </cell>
          <cell r="F57">
            <v>3462</v>
          </cell>
          <cell r="G57">
            <v>2215680</v>
          </cell>
          <cell r="H57">
            <v>3270275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192327</v>
          </cell>
          <cell r="E58">
            <v>90081537.47</v>
          </cell>
          <cell r="F58">
            <v>1233069</v>
          </cell>
          <cell r="G58">
            <v>121640755.1</v>
          </cell>
          <cell r="H58">
            <v>211722292.57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18586</v>
          </cell>
          <cell r="G59">
            <v>33574910</v>
          </cell>
          <cell r="H59">
            <v>33574910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3560</v>
          </cell>
          <cell r="E60">
            <v>732690</v>
          </cell>
          <cell r="F60">
            <v>5678</v>
          </cell>
          <cell r="G60">
            <v>8446060</v>
          </cell>
          <cell r="H60">
            <v>9178750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867023</v>
          </cell>
          <cell r="E61">
            <v>178936142</v>
          </cell>
          <cell r="F61">
            <v>1259030</v>
          </cell>
          <cell r="G61">
            <v>186577890.7</v>
          </cell>
          <cell r="H61">
            <v>365514032.7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191</v>
          </cell>
          <cell r="E62">
            <v>1596000</v>
          </cell>
          <cell r="F62">
            <v>880</v>
          </cell>
          <cell r="G62">
            <v>747250</v>
          </cell>
          <cell r="H62">
            <v>2343250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54467</v>
          </cell>
          <cell r="E63">
            <v>17971855.26</v>
          </cell>
          <cell r="F63">
            <v>73375</v>
          </cell>
          <cell r="G63">
            <v>63722364.43</v>
          </cell>
          <cell r="H63">
            <v>81694219.69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47</v>
          </cell>
          <cell r="E64">
            <v>38934</v>
          </cell>
          <cell r="F64">
            <v>9385</v>
          </cell>
          <cell r="G64">
            <v>10825987</v>
          </cell>
          <cell r="H64">
            <v>10864921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193583</v>
          </cell>
          <cell r="E67">
            <v>32207355.58</v>
          </cell>
          <cell r="F67">
            <v>10316</v>
          </cell>
          <cell r="G67">
            <v>4070692.2</v>
          </cell>
          <cell r="H67">
            <v>36278047.78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"МИРЭ ЭССЭТ СЕКЬЮРИТИС МОНГОЛ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329212468.4</v>
          </cell>
          <cell r="H16">
            <v>391709760</v>
          </cell>
          <cell r="I16">
            <v>0</v>
          </cell>
          <cell r="J16">
            <v>641815500</v>
          </cell>
          <cell r="K16">
            <v>0</v>
          </cell>
          <cell r="L16">
            <v>0</v>
          </cell>
          <cell r="M16">
            <v>1362737728.4</v>
          </cell>
          <cell r="N16">
            <v>48003858218.03999</v>
          </cell>
        </row>
        <row r="17">
          <cell r="B17" t="str">
            <v>BDSC</v>
          </cell>
          <cell r="C17" t="str">
            <v>"БИ ДИ СЕК ҮЦК" 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3214862066.8199997</v>
          </cell>
          <cell r="H17">
            <v>16800000</v>
          </cell>
          <cell r="I17">
            <v>0</v>
          </cell>
          <cell r="J17">
            <v>7273765600</v>
          </cell>
          <cell r="K17">
            <v>0</v>
          </cell>
          <cell r="L17">
            <v>0</v>
          </cell>
          <cell r="M17">
            <v>10505427666.82</v>
          </cell>
          <cell r="N17">
            <v>34300637937.67</v>
          </cell>
        </row>
        <row r="18">
          <cell r="B18" t="str">
            <v>NOVL</v>
          </cell>
          <cell r="C18" t="str">
            <v>"НОВЕЛ ИНВЕСТМЕНТ ҮЦК" ХХК</v>
          </cell>
          <cell r="D18" t="str">
            <v>●</v>
          </cell>
          <cell r="F18" t="str">
            <v>●</v>
          </cell>
          <cell r="G18">
            <v>337942623.78999996</v>
          </cell>
          <cell r="H18">
            <v>200000000</v>
          </cell>
          <cell r="I18">
            <v>0</v>
          </cell>
          <cell r="J18">
            <v>424455350</v>
          </cell>
          <cell r="K18">
            <v>0</v>
          </cell>
          <cell r="L18">
            <v>0</v>
          </cell>
          <cell r="M18">
            <v>962397973.79</v>
          </cell>
          <cell r="N18">
            <v>26956901493.05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782825424.5</v>
          </cell>
          <cell r="H19">
            <v>0</v>
          </cell>
          <cell r="I19">
            <v>0</v>
          </cell>
          <cell r="J19">
            <v>7464649600</v>
          </cell>
          <cell r="K19">
            <v>0</v>
          </cell>
          <cell r="L19">
            <v>0</v>
          </cell>
          <cell r="M19">
            <v>8247475024.5</v>
          </cell>
          <cell r="N19">
            <v>21308771705.61</v>
          </cell>
        </row>
        <row r="20">
          <cell r="B20" t="str">
            <v>GLMT</v>
          </cell>
          <cell r="C20" t="str">
            <v>"ГОЛОМТ КАПИТАЛ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751038143.61</v>
          </cell>
          <cell r="H20">
            <v>0</v>
          </cell>
          <cell r="I20">
            <v>0</v>
          </cell>
          <cell r="J20">
            <v>11109681200</v>
          </cell>
          <cell r="K20">
            <v>0</v>
          </cell>
          <cell r="L20">
            <v>0</v>
          </cell>
          <cell r="M20">
            <v>11860719343.61</v>
          </cell>
          <cell r="N20">
            <v>20227251959.800003</v>
          </cell>
        </row>
        <row r="21">
          <cell r="B21" t="str">
            <v>GAUL</v>
          </cell>
          <cell r="C21" t="str">
            <v>"ГАҮЛИ ҮЦК" ХХК</v>
          </cell>
          <cell r="D21" t="str">
            <v>●</v>
          </cell>
          <cell r="E21" t="str">
            <v>●</v>
          </cell>
          <cell r="G21">
            <v>308791643.8</v>
          </cell>
          <cell r="H21">
            <v>0</v>
          </cell>
          <cell r="I21">
            <v>0</v>
          </cell>
          <cell r="J21">
            <v>62218250</v>
          </cell>
          <cell r="K21">
            <v>0</v>
          </cell>
          <cell r="L21">
            <v>0</v>
          </cell>
          <cell r="M21">
            <v>371009893.8</v>
          </cell>
          <cell r="N21">
            <v>18249355674</v>
          </cell>
        </row>
        <row r="22">
          <cell r="B22" t="str">
            <v>DELG</v>
          </cell>
          <cell r="C22" t="str">
            <v>"ДЭЛГЭРХАНГАЙ СЕКЮРИТИЗ ҮЦК" ХХК</v>
          </cell>
          <cell r="D22" t="str">
            <v>●</v>
          </cell>
          <cell r="G22">
            <v>3707350</v>
          </cell>
          <cell r="H22">
            <v>0</v>
          </cell>
          <cell r="I22">
            <v>0</v>
          </cell>
          <cell r="J22">
            <v>7713300</v>
          </cell>
          <cell r="K22">
            <v>0</v>
          </cell>
          <cell r="L22">
            <v>0</v>
          </cell>
          <cell r="M22">
            <v>11420650</v>
          </cell>
          <cell r="N22">
            <v>7833375671.740001</v>
          </cell>
        </row>
        <row r="23">
          <cell r="B23" t="str">
            <v>MNET</v>
          </cell>
          <cell r="C23" t="str">
            <v>"АРД СЕКЬЮРИТИЗ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164976653.44</v>
          </cell>
          <cell r="H23">
            <v>0</v>
          </cell>
          <cell r="I23">
            <v>0</v>
          </cell>
          <cell r="J23">
            <v>2471072450</v>
          </cell>
          <cell r="K23">
            <v>0</v>
          </cell>
          <cell r="L23">
            <v>0</v>
          </cell>
          <cell r="M23">
            <v>2636049103.44</v>
          </cell>
          <cell r="N23">
            <v>6481144204.390001</v>
          </cell>
        </row>
        <row r="24">
          <cell r="B24" t="str">
            <v>TDB</v>
          </cell>
          <cell r="C24" t="str">
            <v>"ТИ ДИ БИ КАПИТАЛ ҮЦК" ХХК</v>
          </cell>
          <cell r="D24" t="str">
            <v>●</v>
          </cell>
          <cell r="E24" t="str">
            <v>●</v>
          </cell>
          <cell r="G24">
            <v>469125790.72</v>
          </cell>
          <cell r="H24">
            <v>103280</v>
          </cell>
          <cell r="I24">
            <v>0</v>
          </cell>
          <cell r="J24">
            <v>483559250</v>
          </cell>
          <cell r="K24">
            <v>0</v>
          </cell>
          <cell r="L24">
            <v>0</v>
          </cell>
          <cell r="M24">
            <v>952788320.72</v>
          </cell>
          <cell r="N24">
            <v>6211315235.139999</v>
          </cell>
        </row>
        <row r="25">
          <cell r="B25" t="str">
            <v>STIN</v>
          </cell>
          <cell r="C25" t="str">
            <v>"СТАНДАРТ ИНВЕСТМЕНТ ҮЦК"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299480535.45</v>
          </cell>
          <cell r="H25">
            <v>0</v>
          </cell>
          <cell r="I25">
            <v>0</v>
          </cell>
          <cell r="J25">
            <v>503870100</v>
          </cell>
          <cell r="K25">
            <v>0</v>
          </cell>
          <cell r="L25">
            <v>0</v>
          </cell>
          <cell r="M25">
            <v>803350635.45</v>
          </cell>
          <cell r="N25">
            <v>5327005104.79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G26">
            <v>297293434.90000004</v>
          </cell>
          <cell r="H26">
            <v>0</v>
          </cell>
          <cell r="I26">
            <v>0</v>
          </cell>
          <cell r="J26">
            <v>1116069100</v>
          </cell>
          <cell r="K26">
            <v>0</v>
          </cell>
          <cell r="L26">
            <v>0</v>
          </cell>
          <cell r="M26">
            <v>1413362534.9</v>
          </cell>
          <cell r="N26">
            <v>4095595426.5800004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G27">
            <v>105099064.3</v>
          </cell>
          <cell r="H27">
            <v>0</v>
          </cell>
          <cell r="I27">
            <v>0</v>
          </cell>
          <cell r="J27">
            <v>559145500</v>
          </cell>
          <cell r="K27">
            <v>0</v>
          </cell>
          <cell r="L27">
            <v>0</v>
          </cell>
          <cell r="M27">
            <v>664244564.3</v>
          </cell>
          <cell r="N27">
            <v>1400068831.05</v>
          </cell>
        </row>
        <row r="28">
          <cell r="B28" t="str">
            <v>MSEC</v>
          </cell>
          <cell r="C28" t="str">
            <v>"МОНСЕК ҮЦК" ХХК</v>
          </cell>
          <cell r="D28" t="str">
            <v>●</v>
          </cell>
          <cell r="E28" t="str">
            <v>●</v>
          </cell>
          <cell r="G28">
            <v>62039217.42</v>
          </cell>
          <cell r="H28">
            <v>0</v>
          </cell>
          <cell r="I28">
            <v>0</v>
          </cell>
          <cell r="J28">
            <v>418227100</v>
          </cell>
          <cell r="K28">
            <v>0</v>
          </cell>
          <cell r="L28">
            <v>0</v>
          </cell>
          <cell r="M28">
            <v>480266317.42</v>
          </cell>
          <cell r="N28">
            <v>1395465529.82</v>
          </cell>
        </row>
        <row r="29">
          <cell r="B29" t="str">
            <v>BLMB</v>
          </cell>
          <cell r="C29" t="str">
            <v>"БЛҮМСБЮРИ СЕКЮРИТИЕС ҮЦК" ХХК </v>
          </cell>
          <cell r="D29" t="str">
            <v>●</v>
          </cell>
          <cell r="E29" t="str">
            <v>●</v>
          </cell>
          <cell r="G29">
            <v>18589478.9</v>
          </cell>
          <cell r="H29">
            <v>0</v>
          </cell>
          <cell r="I29">
            <v>0</v>
          </cell>
          <cell r="J29">
            <v>1440000</v>
          </cell>
          <cell r="K29">
            <v>0</v>
          </cell>
          <cell r="L29">
            <v>0</v>
          </cell>
          <cell r="M29">
            <v>20029478.9</v>
          </cell>
          <cell r="N29">
            <v>1334656457.4699998</v>
          </cell>
        </row>
        <row r="30">
          <cell r="B30" t="str">
            <v>BATS</v>
          </cell>
          <cell r="C30" t="str">
            <v>"БАТС ҮЦК" ХХК</v>
          </cell>
          <cell r="D30" t="str">
            <v>●</v>
          </cell>
          <cell r="G30">
            <v>25524100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25524100</v>
          </cell>
          <cell r="N30">
            <v>873879902.01</v>
          </cell>
        </row>
        <row r="31">
          <cell r="B31" t="str">
            <v>SANR</v>
          </cell>
          <cell r="C31" t="str">
            <v>"САНАР ҮЦК" ХХК</v>
          </cell>
          <cell r="D31" t="str">
            <v>●</v>
          </cell>
          <cell r="G31">
            <v>139495685.73</v>
          </cell>
          <cell r="H31">
            <v>0</v>
          </cell>
          <cell r="I31">
            <v>0</v>
          </cell>
          <cell r="J31">
            <v>2193800</v>
          </cell>
          <cell r="K31">
            <v>0</v>
          </cell>
          <cell r="L31">
            <v>0</v>
          </cell>
          <cell r="M31">
            <v>141689485.73</v>
          </cell>
          <cell r="N31">
            <v>797583341.4300001</v>
          </cell>
        </row>
        <row r="32">
          <cell r="B32" t="str">
            <v>GNDX</v>
          </cell>
          <cell r="C32" t="str">
            <v>"ГЕНДЕКС ҮЦК" ХХК</v>
          </cell>
          <cell r="D32" t="str">
            <v>●</v>
          </cell>
          <cell r="G32">
            <v>28066917</v>
          </cell>
          <cell r="H32">
            <v>0</v>
          </cell>
          <cell r="I32">
            <v>0</v>
          </cell>
          <cell r="J32">
            <v>9926400</v>
          </cell>
          <cell r="K32">
            <v>0</v>
          </cell>
          <cell r="L32">
            <v>0</v>
          </cell>
          <cell r="M32">
            <v>37993317</v>
          </cell>
          <cell r="N32">
            <v>761383362.3399999</v>
          </cell>
        </row>
        <row r="33">
          <cell r="B33" t="str">
            <v>ECM</v>
          </cell>
          <cell r="C33" t="str">
            <v>"ЕВРАЗИА КАПИТАЛ ХОЛДИНГ ҮЦК" ХК</v>
          </cell>
          <cell r="D33" t="str">
            <v>●</v>
          </cell>
          <cell r="E33" t="str">
            <v>●</v>
          </cell>
          <cell r="F33" t="str">
            <v>●</v>
          </cell>
          <cell r="G33">
            <v>10945623.2</v>
          </cell>
          <cell r="H33">
            <v>0</v>
          </cell>
          <cell r="I33">
            <v>0</v>
          </cell>
          <cell r="J33">
            <v>1551200</v>
          </cell>
          <cell r="K33">
            <v>0</v>
          </cell>
          <cell r="L33">
            <v>0</v>
          </cell>
          <cell r="M33">
            <v>12496823.2</v>
          </cell>
          <cell r="N33">
            <v>654464750.97</v>
          </cell>
        </row>
        <row r="34">
          <cell r="B34" t="str">
            <v>TCHB</v>
          </cell>
          <cell r="C34" t="str">
            <v>"ТУЛГАТ ЧАНДМАНЬ БАЯН  ҮЦК" ХХК</v>
          </cell>
          <cell r="D34" t="str">
            <v>●</v>
          </cell>
          <cell r="G34">
            <v>26090568</v>
          </cell>
          <cell r="H34">
            <v>0</v>
          </cell>
          <cell r="I34">
            <v>0</v>
          </cell>
          <cell r="J34">
            <v>35115100</v>
          </cell>
          <cell r="K34">
            <v>0</v>
          </cell>
          <cell r="L34">
            <v>0</v>
          </cell>
          <cell r="M34">
            <v>61205668</v>
          </cell>
          <cell r="N34">
            <v>578092386.98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G35">
            <v>33988736</v>
          </cell>
          <cell r="H35">
            <v>0</v>
          </cell>
          <cell r="I35">
            <v>0</v>
          </cell>
          <cell r="J35">
            <v>12363300</v>
          </cell>
          <cell r="K35">
            <v>0</v>
          </cell>
          <cell r="L35">
            <v>0</v>
          </cell>
          <cell r="M35">
            <v>46352036</v>
          </cell>
          <cell r="N35">
            <v>565900922.46</v>
          </cell>
        </row>
        <row r="36">
          <cell r="B36" t="str">
            <v>LFTI</v>
          </cell>
          <cell r="C36" t="str">
            <v>"ЛАЙФТАЙМ ИНВЕСТМЕНТ ҮЦК" ХХК</v>
          </cell>
          <cell r="D36" t="str">
            <v>●</v>
          </cell>
          <cell r="E36" t="str">
            <v>●</v>
          </cell>
          <cell r="G36">
            <v>30011343</v>
          </cell>
          <cell r="H36">
            <v>0</v>
          </cell>
          <cell r="I36">
            <v>0</v>
          </cell>
          <cell r="J36">
            <v>10582300</v>
          </cell>
          <cell r="K36">
            <v>0</v>
          </cell>
          <cell r="L36">
            <v>0</v>
          </cell>
          <cell r="M36">
            <v>40593643</v>
          </cell>
          <cell r="N36">
            <v>475609069.31000006</v>
          </cell>
        </row>
        <row r="37">
          <cell r="B37" t="str">
            <v>GDSC</v>
          </cell>
          <cell r="C37" t="str">
            <v>"ГҮҮДСЕК ҮЦК" ХХК</v>
          </cell>
          <cell r="D37" t="str">
            <v>●</v>
          </cell>
          <cell r="E37" t="str">
            <v>●</v>
          </cell>
          <cell r="F37" t="str">
            <v>●</v>
          </cell>
          <cell r="G37">
            <v>74168112.17</v>
          </cell>
          <cell r="H37">
            <v>0</v>
          </cell>
          <cell r="I37">
            <v>0</v>
          </cell>
          <cell r="J37">
            <v>83030700</v>
          </cell>
          <cell r="K37">
            <v>0</v>
          </cell>
          <cell r="L37">
            <v>0</v>
          </cell>
          <cell r="M37">
            <v>157198812.17000002</v>
          </cell>
          <cell r="N37">
            <v>409787267.74</v>
          </cell>
        </row>
        <row r="38">
          <cell r="B38" t="str">
            <v>DRBR</v>
          </cell>
          <cell r="C38" t="str">
            <v>"ДАРХАН БРОКЕР ҮЦК" ХХК</v>
          </cell>
          <cell r="D38" t="str">
            <v>●</v>
          </cell>
          <cell r="G38">
            <v>56447030</v>
          </cell>
          <cell r="H38">
            <v>0</v>
          </cell>
          <cell r="I38">
            <v>0</v>
          </cell>
          <cell r="J38">
            <v>850000</v>
          </cell>
          <cell r="K38">
            <v>0</v>
          </cell>
          <cell r="L38">
            <v>0</v>
          </cell>
          <cell r="M38">
            <v>57297030</v>
          </cell>
          <cell r="N38">
            <v>381340349.84</v>
          </cell>
        </row>
        <row r="39">
          <cell r="B39" t="str">
            <v>HUN</v>
          </cell>
          <cell r="C39" t="str">
            <v>"ХҮННҮ ЭМПАЙР ҮЦК" ХХК</v>
          </cell>
          <cell r="D39" t="str">
            <v>●</v>
          </cell>
          <cell r="G39">
            <v>25084903</v>
          </cell>
          <cell r="H39">
            <v>0</v>
          </cell>
          <cell r="I39">
            <v>0</v>
          </cell>
          <cell r="J39">
            <v>112962900</v>
          </cell>
          <cell r="K39">
            <v>0</v>
          </cell>
          <cell r="L39">
            <v>0</v>
          </cell>
          <cell r="M39">
            <v>138047803</v>
          </cell>
          <cell r="N39">
            <v>375979131.46</v>
          </cell>
        </row>
        <row r="40">
          <cell r="B40" t="str">
            <v>TNGR</v>
          </cell>
          <cell r="C40" t="str">
            <v>"ТЭНГЭР КАПИТАЛ  ҮЦК" ХХК</v>
          </cell>
          <cell r="D40" t="str">
            <v>●</v>
          </cell>
          <cell r="E40" t="str">
            <v>●</v>
          </cell>
          <cell r="F40" t="str">
            <v>●</v>
          </cell>
          <cell r="G40">
            <v>11717073</v>
          </cell>
          <cell r="H40">
            <v>0</v>
          </cell>
          <cell r="I40">
            <v>0</v>
          </cell>
          <cell r="J40">
            <v>40034800</v>
          </cell>
          <cell r="K40">
            <v>0</v>
          </cell>
          <cell r="L40">
            <v>0</v>
          </cell>
          <cell r="M40">
            <v>51751873</v>
          </cell>
          <cell r="N40">
            <v>371537189.32000005</v>
          </cell>
        </row>
        <row r="41">
          <cell r="B41" t="str">
            <v>TABO</v>
          </cell>
          <cell r="C41" t="str">
            <v>"ТАВАН БОГД ҮЦК" ХХК</v>
          </cell>
          <cell r="D41" t="str">
            <v>●</v>
          </cell>
          <cell r="G41">
            <v>8410060</v>
          </cell>
          <cell r="H41">
            <v>0</v>
          </cell>
          <cell r="I41">
            <v>0</v>
          </cell>
          <cell r="J41">
            <v>1526000</v>
          </cell>
          <cell r="K41">
            <v>0</v>
          </cell>
          <cell r="L41">
            <v>0</v>
          </cell>
          <cell r="M41">
            <v>9936060</v>
          </cell>
          <cell r="N41">
            <v>366518305.91999996</v>
          </cell>
        </row>
        <row r="42">
          <cell r="B42" t="str">
            <v>GDEV</v>
          </cell>
          <cell r="C42" t="str">
            <v>"ГРАНДДЕВЕЛОПМЕНТ ҮЦК" ХХК</v>
          </cell>
          <cell r="D42" t="str">
            <v>●</v>
          </cell>
          <cell r="G42">
            <v>0</v>
          </cell>
          <cell r="H42">
            <v>0</v>
          </cell>
          <cell r="I42">
            <v>0</v>
          </cell>
          <cell r="J42">
            <v>7994700</v>
          </cell>
          <cell r="K42">
            <v>0</v>
          </cell>
          <cell r="L42">
            <v>0</v>
          </cell>
          <cell r="M42">
            <v>7994700</v>
          </cell>
          <cell r="N42">
            <v>308590521.88000005</v>
          </cell>
        </row>
        <row r="43">
          <cell r="B43" t="str">
            <v>MIBG</v>
          </cell>
          <cell r="C43" t="str">
            <v>"ЭМ АЙ БИ ЖИ ХХК ҮЦК"</v>
          </cell>
          <cell r="D43" t="str">
            <v>●</v>
          </cell>
          <cell r="E43" t="str">
            <v>●</v>
          </cell>
          <cell r="G43">
            <v>44049420</v>
          </cell>
          <cell r="H43">
            <v>0</v>
          </cell>
          <cell r="I43">
            <v>0</v>
          </cell>
          <cell r="J43">
            <v>8236800</v>
          </cell>
          <cell r="K43">
            <v>0</v>
          </cell>
          <cell r="L43">
            <v>0</v>
          </cell>
          <cell r="M43">
            <v>52286220</v>
          </cell>
          <cell r="N43">
            <v>262418853.95</v>
          </cell>
        </row>
        <row r="44">
          <cell r="B44" t="str">
            <v>MERG</v>
          </cell>
          <cell r="C44" t="str">
            <v>"МЭРГЭН САНАА ҮЦК" ХХК</v>
          </cell>
          <cell r="D44" t="str">
            <v>●</v>
          </cell>
          <cell r="G44">
            <v>3248472</v>
          </cell>
          <cell r="H44">
            <v>0</v>
          </cell>
          <cell r="I44">
            <v>0</v>
          </cell>
          <cell r="J44">
            <v>4838800</v>
          </cell>
          <cell r="K44">
            <v>0</v>
          </cell>
          <cell r="L44">
            <v>0</v>
          </cell>
          <cell r="M44">
            <v>8087272</v>
          </cell>
          <cell r="N44">
            <v>256100733.36</v>
          </cell>
        </row>
        <row r="45">
          <cell r="B45" t="str">
            <v>BULG</v>
          </cell>
          <cell r="C45" t="str">
            <v>"БУЛГАН БРОКЕР ҮЦК" ХХК</v>
          </cell>
          <cell r="D45" t="str">
            <v>●</v>
          </cell>
          <cell r="G45">
            <v>16751530</v>
          </cell>
          <cell r="H45">
            <v>0</v>
          </cell>
          <cell r="I45">
            <v>0</v>
          </cell>
          <cell r="J45">
            <v>53030800</v>
          </cell>
          <cell r="K45">
            <v>0</v>
          </cell>
          <cell r="L45">
            <v>0</v>
          </cell>
          <cell r="M45">
            <v>69782330</v>
          </cell>
          <cell r="N45">
            <v>190232349.91</v>
          </cell>
        </row>
        <row r="46">
          <cell r="B46" t="str">
            <v>MONG</v>
          </cell>
          <cell r="C46" t="str">
            <v>"МОНГОЛ СЕКЮРИТИЕС ҮЦК" ХК</v>
          </cell>
          <cell r="D46" t="str">
            <v>●</v>
          </cell>
          <cell r="G46">
            <v>0</v>
          </cell>
          <cell r="H46">
            <v>0</v>
          </cell>
          <cell r="I46">
            <v>0</v>
          </cell>
          <cell r="J46">
            <v>4420500</v>
          </cell>
          <cell r="K46">
            <v>0</v>
          </cell>
          <cell r="L46">
            <v>0</v>
          </cell>
          <cell r="M46">
            <v>4420500</v>
          </cell>
          <cell r="N46">
            <v>176331062</v>
          </cell>
        </row>
        <row r="47">
          <cell r="B47" t="str">
            <v>UNDR</v>
          </cell>
          <cell r="C47" t="str">
            <v>"ӨНДӨРХААН ИНВЕСТ ҮЦК" ХХК</v>
          </cell>
          <cell r="D47" t="str">
            <v>●</v>
          </cell>
          <cell r="G47">
            <v>14131484</v>
          </cell>
          <cell r="H47">
            <v>0</v>
          </cell>
          <cell r="I47">
            <v>0</v>
          </cell>
          <cell r="J47">
            <v>1663200</v>
          </cell>
          <cell r="K47">
            <v>0</v>
          </cell>
          <cell r="L47">
            <v>0</v>
          </cell>
          <cell r="M47">
            <v>15794684</v>
          </cell>
          <cell r="N47">
            <v>165365166.82999998</v>
          </cell>
        </row>
        <row r="48">
          <cell r="B48" t="str">
            <v>MSDQ</v>
          </cell>
          <cell r="C48" t="str">
            <v>"МАСДАК ҮНЭТ ЦААСНЫ КОМПАНИ" ХХК</v>
          </cell>
          <cell r="D48" t="str">
            <v>●</v>
          </cell>
          <cell r="G48">
            <v>8600804.5</v>
          </cell>
          <cell r="H48">
            <v>0</v>
          </cell>
          <cell r="I48">
            <v>0</v>
          </cell>
          <cell r="J48">
            <v>1929900</v>
          </cell>
          <cell r="K48">
            <v>0</v>
          </cell>
          <cell r="L48">
            <v>0</v>
          </cell>
          <cell r="M48">
            <v>10530704.5</v>
          </cell>
          <cell r="N48">
            <v>135767444.64000002</v>
          </cell>
        </row>
        <row r="49">
          <cell r="B49" t="str">
            <v>NSEC</v>
          </cell>
          <cell r="C49" t="str">
            <v>"НЭЙШНЛ СЕКЮРИТИС ҮЦК" ХХК</v>
          </cell>
          <cell r="D49" t="str">
            <v>●</v>
          </cell>
          <cell r="E49" t="str">
            <v>●</v>
          </cell>
          <cell r="F49" t="str">
            <v>●</v>
          </cell>
          <cell r="G49">
            <v>38665584</v>
          </cell>
          <cell r="H49">
            <v>0</v>
          </cell>
          <cell r="I49">
            <v>0</v>
          </cell>
          <cell r="J49">
            <v>7620500</v>
          </cell>
          <cell r="K49">
            <v>0</v>
          </cell>
          <cell r="L49">
            <v>0</v>
          </cell>
          <cell r="M49">
            <v>46286084</v>
          </cell>
          <cell r="N49">
            <v>125192567.77</v>
          </cell>
        </row>
        <row r="50">
          <cell r="B50" t="str">
            <v>APS</v>
          </cell>
          <cell r="C50" t="str">
            <v>"АЗИА ПАСИФИК СЕКЬЮРИТИС ҮЦК" ХХК</v>
          </cell>
          <cell r="D50" t="str">
            <v>●</v>
          </cell>
          <cell r="G50">
            <v>4702130</v>
          </cell>
          <cell r="H50">
            <v>0</v>
          </cell>
          <cell r="I50">
            <v>0</v>
          </cell>
          <cell r="J50">
            <v>105000</v>
          </cell>
          <cell r="K50">
            <v>0</v>
          </cell>
          <cell r="L50">
            <v>0</v>
          </cell>
          <cell r="M50">
            <v>4807130</v>
          </cell>
          <cell r="N50">
            <v>107414587.4</v>
          </cell>
        </row>
        <row r="51">
          <cell r="B51" t="str">
            <v>BSK</v>
          </cell>
          <cell r="C51" t="str">
            <v>"БЛЮСКАЙ СЕКЬЮРИТИЗ ҮЦК" ХК</v>
          </cell>
          <cell r="D51" t="str">
            <v>●</v>
          </cell>
          <cell r="G51">
            <v>6663064</v>
          </cell>
          <cell r="H51">
            <v>0</v>
          </cell>
          <cell r="I51">
            <v>0</v>
          </cell>
          <cell r="J51">
            <v>1318800</v>
          </cell>
          <cell r="K51">
            <v>0</v>
          </cell>
          <cell r="L51">
            <v>0</v>
          </cell>
          <cell r="M51">
            <v>7981864</v>
          </cell>
          <cell r="N51">
            <v>85575685.23999998</v>
          </cell>
        </row>
        <row r="52">
          <cell r="B52" t="str">
            <v>BLAC</v>
          </cell>
          <cell r="C52" t="str">
            <v>"БЛЭКСТОУН ИНТЕРНЭЙШНЛ ҮЦК" ХХК</v>
          </cell>
          <cell r="D52" t="str">
            <v>●</v>
          </cell>
          <cell r="G52">
            <v>7695300</v>
          </cell>
          <cell r="H52">
            <v>0</v>
          </cell>
          <cell r="I52">
            <v>0</v>
          </cell>
          <cell r="J52">
            <v>22572200</v>
          </cell>
          <cell r="K52">
            <v>0</v>
          </cell>
          <cell r="L52">
            <v>0</v>
          </cell>
          <cell r="M52">
            <v>30267500</v>
          </cell>
          <cell r="N52">
            <v>81564304.12</v>
          </cell>
        </row>
        <row r="53">
          <cell r="B53" t="str">
            <v>ALTN</v>
          </cell>
          <cell r="C53" t="str">
            <v>"АЛТАН ХОРОМСОГ ҮЦК" ХХК</v>
          </cell>
          <cell r="D53" t="str">
            <v>●</v>
          </cell>
          <cell r="G53">
            <v>2061810</v>
          </cell>
          <cell r="H53">
            <v>0</v>
          </cell>
          <cell r="I53">
            <v>0</v>
          </cell>
          <cell r="J53">
            <v>1458100</v>
          </cell>
          <cell r="K53">
            <v>0</v>
          </cell>
          <cell r="L53">
            <v>0</v>
          </cell>
          <cell r="M53">
            <v>3519910</v>
          </cell>
          <cell r="N53">
            <v>79288513.72</v>
          </cell>
        </row>
        <row r="54">
          <cell r="B54" t="str">
            <v>MICC</v>
          </cell>
          <cell r="C54" t="str">
            <v>"ЭМ АЙ СИ СИ  ҮЦК" ХХК</v>
          </cell>
          <cell r="D54" t="str">
            <v>●</v>
          </cell>
          <cell r="E54" t="str">
            <v>●</v>
          </cell>
          <cell r="G54">
            <v>1639200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1639200</v>
          </cell>
          <cell r="N54">
            <v>64291744.97</v>
          </cell>
        </row>
        <row r="55">
          <cell r="B55" t="str">
            <v>SECP</v>
          </cell>
          <cell r="C55" t="str">
            <v>"СИКАП  ҮЦК" ХХК</v>
          </cell>
          <cell r="D55" t="str">
            <v>●</v>
          </cell>
          <cell r="E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738500</v>
          </cell>
          <cell r="K55">
            <v>0</v>
          </cell>
          <cell r="L55">
            <v>0</v>
          </cell>
          <cell r="M55">
            <v>738500</v>
          </cell>
          <cell r="N55">
            <v>57166860.419999994</v>
          </cell>
        </row>
        <row r="56">
          <cell r="B56" t="str">
            <v>GATR</v>
          </cell>
          <cell r="C56" t="str">
            <v>"ГАЦУУРТ ТРЕЙД ҮЦК" ХХК</v>
          </cell>
          <cell r="D56" t="str">
            <v>●</v>
          </cell>
          <cell r="G56">
            <v>758200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758200</v>
          </cell>
          <cell r="N56">
            <v>45685035.03</v>
          </cell>
        </row>
        <row r="57">
          <cell r="B57" t="str">
            <v>SILS</v>
          </cell>
          <cell r="C57" t="str">
            <v>"СИЛВЭР ЛАЙТ СЕКЮРИТИЙЗ ҮЦК" ХХК</v>
          </cell>
          <cell r="D57" t="str">
            <v>●</v>
          </cell>
          <cell r="G57">
            <v>4357664.15</v>
          </cell>
          <cell r="H57">
            <v>0</v>
          </cell>
          <cell r="I57">
            <v>0</v>
          </cell>
          <cell r="J57">
            <v>9011800</v>
          </cell>
          <cell r="L57">
            <v>0</v>
          </cell>
          <cell r="M57">
            <v>13369464.15</v>
          </cell>
          <cell r="N57">
            <v>26028587.15</v>
          </cell>
        </row>
        <row r="58">
          <cell r="B58" t="str">
            <v>ARGB</v>
          </cell>
          <cell r="C58" t="str">
            <v>"АРГАЙ БЭСТ ҮЦК" ХХК</v>
          </cell>
          <cell r="D58" t="str">
            <v>●</v>
          </cell>
          <cell r="G58">
            <v>3506520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3506520</v>
          </cell>
          <cell r="N58">
            <v>18259802.5</v>
          </cell>
        </row>
        <row r="59">
          <cell r="B59" t="str">
            <v>ZGB</v>
          </cell>
          <cell r="C59" t="str">
            <v>"ЗЭТ ЖИ БИ ҮЦК" ХХК</v>
          </cell>
          <cell r="D59" t="str">
            <v>●</v>
          </cell>
          <cell r="G59">
            <v>9603762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9603762</v>
          </cell>
          <cell r="N59">
            <v>9603762</v>
          </cell>
        </row>
        <row r="60">
          <cell r="B60" t="str">
            <v>FCX</v>
          </cell>
          <cell r="C60" t="str">
            <v>"ЭФ СИ ИКС ҮЦК" ХХК</v>
          </cell>
          <cell r="D60" t="str">
            <v>●</v>
          </cell>
          <cell r="E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3788300</v>
          </cell>
        </row>
        <row r="61">
          <cell r="B61" t="str">
            <v>DCF</v>
          </cell>
          <cell r="C61" t="str">
            <v>ДИ СИ ЭФ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>BKHE</v>
          </cell>
          <cell r="C62" t="str">
            <v>БАГА ХЭЭР ХХК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GNN</v>
          </cell>
          <cell r="C63" t="str">
            <v>ГОВИЙН НОЁН НУРУУ ХХК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ITR</v>
          </cell>
          <cell r="C64" t="str">
            <v>АЙ ТРЕЙД ХХК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BBSS</v>
          </cell>
          <cell r="C65" t="str">
            <v>БИ БИ ЭС ЭС ХХК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DGSN</v>
          </cell>
          <cell r="C66" t="str">
            <v>ДОГСОН ХХК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FINL</v>
          </cell>
          <cell r="C67" t="str">
            <v>ФИНАНС ЛИНК ГРУПП ХХК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CAPM</v>
          </cell>
          <cell r="C68" t="str">
            <v>"КАПИТАЛ МАРКЕТ КОРПОРАЦИ ҮЦК" ХХК</v>
          </cell>
          <cell r="D68" t="str">
            <v>●</v>
          </cell>
          <cell r="E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ACE</v>
          </cell>
          <cell r="C69" t="str">
            <v>"АСЕ ЭНД Т КАПИТАЛ ҮЦК" ХХК</v>
          </cell>
          <cell r="D69" t="str">
            <v>●</v>
          </cell>
          <cell r="E69" t="str">
            <v>●</v>
          </cell>
          <cell r="F69" t="str">
            <v>●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B70" t="str">
            <v>SGC</v>
          </cell>
          <cell r="C70" t="str">
            <v>"ЭС ЖИ КАПИТАЛ ҮЦК" ХХК</v>
          </cell>
          <cell r="D70" t="str">
            <v>●</v>
          </cell>
          <cell r="E70" t="str">
            <v>●</v>
          </cell>
          <cell r="F70" t="str">
            <v>●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FRON</v>
          </cell>
          <cell r="C71" t="str">
            <v>"ФРОНТИЕР ҮЦК" ХХК</v>
          </cell>
          <cell r="D71" t="str">
            <v>●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B72" t="str">
            <v>MWTS</v>
          </cell>
          <cell r="C72" t="str">
            <v>"ЭМ ДАБЛЬЮ ТИ ЭС ҮЦК" ХХК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B73" t="str">
            <v>PREV</v>
          </cell>
          <cell r="C73" t="str">
            <v>ПРЕВАЛЕНТ ХХК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B74" t="str">
            <v>ZEUS</v>
          </cell>
          <cell r="C74" t="str">
            <v>ЗЮС КАПИТАЛ ХХК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tabSelected="1" view="pageBreakPreview" zoomScale="70" zoomScaleSheetLayoutView="70" workbookViewId="0" topLeftCell="A1">
      <pane xSplit="3" ySplit="15" topLeftCell="H67" activePane="bottomRight" state="frozen"/>
      <selection pane="topRight" activeCell="D1" sqref="D1"/>
      <selection pane="bottomLeft" activeCell="A16" sqref="A16"/>
      <selection pane="bottomRight" activeCell="M76" sqref="M76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421875" style="1" bestFit="1" customWidth="1"/>
    <col min="14" max="14" width="25.421875" style="1" customWidth="1"/>
    <col min="15" max="15" width="16.710937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4"/>
    </row>
    <row r="2" ht="15">
      <c r="P2" s="24"/>
    </row>
    <row r="3" ht="15">
      <c r="P3" s="24"/>
    </row>
    <row r="4" ht="15">
      <c r="P4" s="24"/>
    </row>
    <row r="5" ht="15">
      <c r="P5" s="24"/>
    </row>
    <row r="6" ht="13.9" customHeight="1">
      <c r="P6" s="24"/>
    </row>
    <row r="7" spans="10:16" ht="15.75">
      <c r="J7" s="5"/>
      <c r="K7" s="5"/>
      <c r="L7" s="5"/>
      <c r="P7" s="24"/>
    </row>
    <row r="8" spans="8:16" ht="15.75">
      <c r="H8" s="6"/>
      <c r="I8" s="6"/>
      <c r="J8" s="7"/>
      <c r="K8" s="7"/>
      <c r="L8" s="7"/>
      <c r="M8" s="7"/>
      <c r="P8" s="24"/>
    </row>
    <row r="9" spans="2:16" ht="15" customHeight="1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44"/>
      <c r="M9" s="9"/>
      <c r="N9" s="9"/>
      <c r="O9" s="9"/>
      <c r="P9" s="24"/>
    </row>
    <row r="10" ht="15.75">
      <c r="P10" s="24"/>
    </row>
    <row r="11" spans="12:16" ht="15" customHeight="1" thickBot="1">
      <c r="L11" s="45" t="s">
        <v>138</v>
      </c>
      <c r="M11" s="45"/>
      <c r="N11" s="45"/>
      <c r="O11" s="45"/>
      <c r="P11" s="24"/>
    </row>
    <row r="12" spans="1:16" ht="14.45" customHeight="1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137</v>
      </c>
      <c r="H12" s="50"/>
      <c r="I12" s="50"/>
      <c r="J12" s="50"/>
      <c r="K12" s="50"/>
      <c r="L12" s="50"/>
      <c r="M12" s="50"/>
      <c r="N12" s="52" t="s">
        <v>130</v>
      </c>
      <c r="O12" s="53"/>
      <c r="P12" s="24"/>
    </row>
    <row r="13" spans="1:17" s="8" customFormat="1" ht="15.75" customHeight="1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1"/>
      <c r="N13" s="54"/>
      <c r="O13" s="55"/>
      <c r="P13" s="35"/>
      <c r="Q13" s="10"/>
    </row>
    <row r="14" spans="1:17" s="8" customFormat="1" ht="33.75" customHeight="1">
      <c r="A14" s="47"/>
      <c r="B14" s="49"/>
      <c r="C14" s="49"/>
      <c r="D14" s="49"/>
      <c r="E14" s="49"/>
      <c r="F14" s="49"/>
      <c r="G14" s="60" t="s">
        <v>5</v>
      </c>
      <c r="H14" s="61"/>
      <c r="I14" s="62"/>
      <c r="J14" s="60" t="s">
        <v>132</v>
      </c>
      <c r="K14" s="61"/>
      <c r="L14" s="62"/>
      <c r="M14" s="58" t="s">
        <v>6</v>
      </c>
      <c r="N14" s="37" t="s">
        <v>7</v>
      </c>
      <c r="O14" s="39" t="s">
        <v>8</v>
      </c>
      <c r="P14" s="35"/>
      <c r="Q14" s="10"/>
    </row>
    <row r="15" spans="1:17" s="8" customFormat="1" ht="55.9" customHeight="1">
      <c r="A15" s="47"/>
      <c r="B15" s="49"/>
      <c r="C15" s="49"/>
      <c r="D15" s="30" t="s">
        <v>9</v>
      </c>
      <c r="E15" s="30" t="s">
        <v>10</v>
      </c>
      <c r="F15" s="30" t="s">
        <v>11</v>
      </c>
      <c r="G15" s="28" t="s">
        <v>133</v>
      </c>
      <c r="H15" s="11" t="s">
        <v>129</v>
      </c>
      <c r="I15" s="28" t="s">
        <v>131</v>
      </c>
      <c r="J15" s="28" t="s">
        <v>133</v>
      </c>
      <c r="K15" s="28" t="s">
        <v>129</v>
      </c>
      <c r="L15" s="28" t="s">
        <v>131</v>
      </c>
      <c r="M15" s="59"/>
      <c r="N15" s="38"/>
      <c r="O15" s="40"/>
      <c r="P15" s="35"/>
      <c r="Q15" s="10"/>
    </row>
    <row r="16" spans="1:16" ht="15">
      <c r="A16" s="12">
        <v>1</v>
      </c>
      <c r="B16" s="13" t="s">
        <v>21</v>
      </c>
      <c r="C16" s="14" t="s">
        <v>22</v>
      </c>
      <c r="D16" s="15" t="s">
        <v>14</v>
      </c>
      <c r="E16" s="16" t="s">
        <v>14</v>
      </c>
      <c r="F16" s="16" t="s">
        <v>14</v>
      </c>
      <c r="G16" s="17">
        <f>VLOOKUP(B16,'[1]Brokers'!$B$9:$H$67,7,0)</f>
        <v>1877749848.6</v>
      </c>
      <c r="H16" s="17">
        <f>VLOOKUP(B16,'[1]Brokers'!$B$9:$W$67,22,0)</f>
        <v>2785411780</v>
      </c>
      <c r="I16" s="17">
        <f>VLOOKUP(B16,'[2]Brokers'!$B$9:$R$67,17,0)</f>
        <v>0</v>
      </c>
      <c r="J16" s="17">
        <f>VLOOKUP(B16,'[1]Brokers'!$B$9:$W$67,12,0)</f>
        <v>0</v>
      </c>
      <c r="K16" s="17">
        <v>0</v>
      </c>
      <c r="L16" s="17">
        <v>0</v>
      </c>
      <c r="M16" s="18">
        <f aca="true" t="shared" si="0" ref="M16:M47">L16+I16+J16+H16+G16</f>
        <v>4663161628.6</v>
      </c>
      <c r="N16" s="31">
        <f>(VLOOKUP(B16,'[3]Sheet1'!$B$16:$N$74,13,0))+4663161628.6</f>
        <v>52667019846.63999</v>
      </c>
      <c r="O16" s="34">
        <f aca="true" t="shared" si="1" ref="O16:O47">N16/$N$75</f>
        <v>0.22880876898153413</v>
      </c>
      <c r="P16" s="36"/>
    </row>
    <row r="17" spans="1:16" ht="15">
      <c r="A17" s="12">
        <v>2</v>
      </c>
      <c r="B17" s="13" t="s">
        <v>12</v>
      </c>
      <c r="C17" s="14" t="s">
        <v>13</v>
      </c>
      <c r="D17" s="15" t="s">
        <v>14</v>
      </c>
      <c r="E17" s="16" t="s">
        <v>14</v>
      </c>
      <c r="F17" s="16" t="s">
        <v>14</v>
      </c>
      <c r="G17" s="17">
        <f>VLOOKUP(B17,'[1]Brokers'!$B$9:$H$67,7,0)</f>
        <v>2428060602.9500003</v>
      </c>
      <c r="H17" s="17">
        <f>VLOOKUP(B17,'[1]Brokers'!$B$9:$W$67,22,0)</f>
        <v>515000</v>
      </c>
      <c r="I17" s="17">
        <f>VLOOKUP(B17,'[2]Brokers'!$B$9:$R$67,17,0)</f>
        <v>0</v>
      </c>
      <c r="J17" s="17">
        <f>VLOOKUP(B17,'[1]Brokers'!$B$9:$W$67,12,0)</f>
        <v>0</v>
      </c>
      <c r="K17" s="17">
        <v>0</v>
      </c>
      <c r="L17" s="17">
        <v>0</v>
      </c>
      <c r="M17" s="18">
        <f t="shared" si="0"/>
        <v>2428575602.9500003</v>
      </c>
      <c r="N17" s="31">
        <f>(VLOOKUP(B17,'[3]Sheet1'!$B$16:$N$74,13,0))+2428575602.95</f>
        <v>36729213540.619995</v>
      </c>
      <c r="O17" s="34">
        <f t="shared" si="1"/>
        <v>0.1595679072094926</v>
      </c>
      <c r="P17" s="36"/>
    </row>
    <row r="18" spans="1:16" ht="15">
      <c r="A18" s="12">
        <v>3</v>
      </c>
      <c r="B18" s="13" t="s">
        <v>15</v>
      </c>
      <c r="C18" s="14" t="s">
        <v>16</v>
      </c>
      <c r="D18" s="15" t="s">
        <v>14</v>
      </c>
      <c r="E18" s="16"/>
      <c r="F18" s="16" t="s">
        <v>14</v>
      </c>
      <c r="G18" s="17">
        <f>VLOOKUP(B18,'[1]Brokers'!$B$9:$H$67,7,0)</f>
        <v>603843569.49</v>
      </c>
      <c r="H18" s="17">
        <f>VLOOKUP(B18,'[1]Brokers'!$B$9:$W$67,22,0)</f>
        <v>0</v>
      </c>
      <c r="I18" s="17">
        <f>VLOOKUP(B18,'[2]Brokers'!$B$9:$R$67,17,0)</f>
        <v>0</v>
      </c>
      <c r="J18" s="17">
        <f>VLOOKUP(B18,'[1]Brokers'!$B$9:$W$67,12,0)</f>
        <v>0</v>
      </c>
      <c r="K18" s="17">
        <v>0</v>
      </c>
      <c r="L18" s="17">
        <v>0</v>
      </c>
      <c r="M18" s="18">
        <f t="shared" si="0"/>
        <v>603843569.49</v>
      </c>
      <c r="N18" s="31">
        <f>(VLOOKUP(B18,'[3]Sheet1'!$B$16:$N$74,13,0))+603843569.49</f>
        <v>27560745062.54</v>
      </c>
      <c r="O18" s="34">
        <f t="shared" si="1"/>
        <v>0.11973603534690955</v>
      </c>
      <c r="P18" s="36"/>
    </row>
    <row r="19" spans="1:16" ht="15">
      <c r="A19" s="12">
        <v>4</v>
      </c>
      <c r="B19" s="13" t="s">
        <v>41</v>
      </c>
      <c r="C19" s="14" t="s">
        <v>42</v>
      </c>
      <c r="D19" s="15" t="s">
        <v>14</v>
      </c>
      <c r="E19" s="15" t="s">
        <v>14</v>
      </c>
      <c r="F19" s="16" t="s">
        <v>14</v>
      </c>
      <c r="G19" s="17">
        <f>VLOOKUP(B19,'[1]Brokers'!$B$9:$H$67,7,0)</f>
        <v>816791054.89</v>
      </c>
      <c r="H19" s="17">
        <f>VLOOKUP(B19,'[1]Brokers'!$B$9:$W$67,22,0)</f>
        <v>0</v>
      </c>
      <c r="I19" s="17">
        <f>VLOOKUP(B19,'[2]Brokers'!$B$9:$R$67,17,0)</f>
        <v>0</v>
      </c>
      <c r="J19" s="17">
        <f>VLOOKUP(B19,'[1]Brokers'!$B$9:$W$67,12,0)</f>
        <v>0</v>
      </c>
      <c r="K19" s="17">
        <v>0</v>
      </c>
      <c r="L19" s="17">
        <v>0</v>
      </c>
      <c r="M19" s="18">
        <f t="shared" si="0"/>
        <v>816791054.89</v>
      </c>
      <c r="N19" s="31">
        <f>(VLOOKUP(B19,'[3]Sheet1'!$B$16:$N$74,13,0))+816791054.89</f>
        <v>22125562760.5</v>
      </c>
      <c r="O19" s="34">
        <f t="shared" si="1"/>
        <v>0.09612320562270533</v>
      </c>
      <c r="P19" s="36"/>
    </row>
    <row r="20" spans="1:16" ht="15">
      <c r="A20" s="12">
        <v>5</v>
      </c>
      <c r="B20" s="13" t="s">
        <v>19</v>
      </c>
      <c r="C20" s="14" t="s">
        <v>20</v>
      </c>
      <c r="D20" s="15" t="s">
        <v>14</v>
      </c>
      <c r="E20" s="16" t="s">
        <v>14</v>
      </c>
      <c r="F20" s="16" t="s">
        <v>14</v>
      </c>
      <c r="G20" s="17">
        <f>VLOOKUP(B20,'[1]Brokers'!$B$9:$H$67,7,0)</f>
        <v>2132309780.3999999</v>
      </c>
      <c r="H20" s="17">
        <f>VLOOKUP(B20,'[1]Brokers'!$B$9:$W$67,22,0)</f>
        <v>0</v>
      </c>
      <c r="I20" s="17">
        <f>VLOOKUP(B20,'[2]Brokers'!$B$9:$R$67,17,0)</f>
        <v>0</v>
      </c>
      <c r="J20" s="17">
        <f>VLOOKUP(B20,'[1]Brokers'!$B$9:$W$67,12,0)</f>
        <v>0</v>
      </c>
      <c r="K20" s="17">
        <v>0</v>
      </c>
      <c r="L20" s="17">
        <v>0</v>
      </c>
      <c r="M20" s="18">
        <f t="shared" si="0"/>
        <v>2132309780.3999999</v>
      </c>
      <c r="N20" s="31">
        <f>(VLOOKUP(B20,'[3]Sheet1'!$B$16:$N$74,13,0))+2132309780.4</f>
        <v>22359561740.200005</v>
      </c>
      <c r="O20" s="34">
        <f t="shared" si="1"/>
        <v>0.09713980042233512</v>
      </c>
      <c r="P20" s="36"/>
    </row>
    <row r="21" spans="1:17" s="29" customFormat="1" ht="15">
      <c r="A21" s="12">
        <v>6</v>
      </c>
      <c r="B21" s="13" t="s">
        <v>31</v>
      </c>
      <c r="C21" s="14" t="s">
        <v>32</v>
      </c>
      <c r="D21" s="15" t="s">
        <v>14</v>
      </c>
      <c r="E21" s="16" t="s">
        <v>14</v>
      </c>
      <c r="F21" s="16"/>
      <c r="G21" s="17">
        <f>VLOOKUP(B21,'[1]Brokers'!$B$9:$H$67,7,0)</f>
        <v>240380516.92000002</v>
      </c>
      <c r="H21" s="17">
        <f>VLOOKUP(B21,'[1]Brokers'!$B$9:$W$67,22,0)</f>
        <v>82023000</v>
      </c>
      <c r="I21" s="17">
        <f>VLOOKUP(B21,'[2]Brokers'!$B$9:$R$67,17,0)</f>
        <v>0</v>
      </c>
      <c r="J21" s="17">
        <f>VLOOKUP(B21,'[1]Brokers'!$B$9:$W$67,12,0)</f>
        <v>0</v>
      </c>
      <c r="K21" s="17">
        <v>0</v>
      </c>
      <c r="L21" s="17">
        <v>0</v>
      </c>
      <c r="M21" s="18">
        <f t="shared" si="0"/>
        <v>322403516.92</v>
      </c>
      <c r="N21" s="31">
        <f>(VLOOKUP(B21,'[3]Sheet1'!$B$16:$N$74,13,0))+322403516.92</f>
        <v>18571759190.92</v>
      </c>
      <c r="O21" s="34">
        <f t="shared" si="1"/>
        <v>0.08068391510796667</v>
      </c>
      <c r="P21" s="36"/>
      <c r="Q21" s="10"/>
    </row>
    <row r="22" spans="1:16" ht="15">
      <c r="A22" s="12">
        <v>7</v>
      </c>
      <c r="B22" s="13" t="s">
        <v>29</v>
      </c>
      <c r="C22" s="14" t="s">
        <v>30</v>
      </c>
      <c r="D22" s="15" t="s">
        <v>14</v>
      </c>
      <c r="E22" s="16" t="s">
        <v>14</v>
      </c>
      <c r="F22" s="16" t="s">
        <v>14</v>
      </c>
      <c r="G22" s="17">
        <f>VLOOKUP(B22,'[1]Brokers'!$B$9:$H$67,7,0)</f>
        <v>2028264638</v>
      </c>
      <c r="H22" s="17">
        <f>VLOOKUP(B22,'[1]Brokers'!$B$9:$W$67,22,0)</f>
        <v>0</v>
      </c>
      <c r="I22" s="17">
        <f>VLOOKUP(B22,'[2]Brokers'!$B$9:$R$67,17,0)</f>
        <v>0</v>
      </c>
      <c r="J22" s="17">
        <f>VLOOKUP(B22,'[1]Brokers'!$B$9:$W$67,12,0)</f>
        <v>0</v>
      </c>
      <c r="K22" s="17">
        <v>0</v>
      </c>
      <c r="L22" s="17">
        <v>0</v>
      </c>
      <c r="M22" s="18">
        <f t="shared" si="0"/>
        <v>2028264638</v>
      </c>
      <c r="N22" s="31">
        <f>(VLOOKUP(B22,'[3]Sheet1'!$B$16:$N$74,13,0))+2028264638</f>
        <v>8509408842.390001</v>
      </c>
      <c r="O22" s="34">
        <f t="shared" si="1"/>
        <v>0.03696862605207863</v>
      </c>
      <c r="P22" s="36"/>
    </row>
    <row r="23" spans="1:16" ht="15">
      <c r="A23" s="12">
        <v>8</v>
      </c>
      <c r="B23" s="13" t="s">
        <v>27</v>
      </c>
      <c r="C23" s="14" t="s">
        <v>28</v>
      </c>
      <c r="D23" s="15" t="s">
        <v>14</v>
      </c>
      <c r="E23" s="16" t="s">
        <v>14</v>
      </c>
      <c r="F23" s="16" t="s">
        <v>14</v>
      </c>
      <c r="G23" s="17">
        <f>VLOOKUP(B23,'[1]Brokers'!$B$9:$H$67,7,0)</f>
        <v>3004621691.57</v>
      </c>
      <c r="H23" s="17">
        <f>VLOOKUP(B23,'[1]Brokers'!$B$9:$W$67,22,0)</f>
        <v>0</v>
      </c>
      <c r="I23" s="17">
        <f>VLOOKUP(B23,'[2]Brokers'!$B$9:$R$67,17,0)</f>
        <v>0</v>
      </c>
      <c r="J23" s="17">
        <f>VLOOKUP(B23,'[1]Brokers'!$B$9:$W$67,12,0)</f>
        <v>0</v>
      </c>
      <c r="K23" s="17">
        <v>0</v>
      </c>
      <c r="L23" s="17">
        <v>0</v>
      </c>
      <c r="M23" s="18">
        <f t="shared" si="0"/>
        <v>3004621691.57</v>
      </c>
      <c r="N23" s="31">
        <f>(VLOOKUP(B23,'[3]Sheet1'!$B$16:$N$74,13,0))+3004621691.57</f>
        <v>8331626796.360001</v>
      </c>
      <c r="O23" s="34">
        <f t="shared" si="1"/>
        <v>0.03619626241317154</v>
      </c>
      <c r="P23" s="36"/>
    </row>
    <row r="24" spans="1:16" ht="15">
      <c r="A24" s="12">
        <v>9</v>
      </c>
      <c r="B24" s="13" t="s">
        <v>45</v>
      </c>
      <c r="C24" s="14" t="s">
        <v>46</v>
      </c>
      <c r="D24" s="15" t="s">
        <v>14</v>
      </c>
      <c r="E24" s="16"/>
      <c r="F24" s="16"/>
      <c r="G24" s="17">
        <f>VLOOKUP(B24,'[1]Brokers'!$B$9:$H$67,7,0)</f>
        <v>24272529</v>
      </c>
      <c r="H24" s="17">
        <f>VLOOKUP(B24,'[1]Brokers'!$B$9:$W$67,22,0)</f>
        <v>0</v>
      </c>
      <c r="I24" s="17">
        <f>VLOOKUP(B24,'[2]Brokers'!$B$9:$R$67,17,0)</f>
        <v>0</v>
      </c>
      <c r="J24" s="17">
        <f>VLOOKUP(B24,'[1]Brokers'!$B$9:$W$67,12,0)</f>
        <v>0</v>
      </c>
      <c r="K24" s="17">
        <v>0</v>
      </c>
      <c r="L24" s="17">
        <v>0</v>
      </c>
      <c r="M24" s="18">
        <f t="shared" si="0"/>
        <v>24272529</v>
      </c>
      <c r="N24" s="31">
        <f>(VLOOKUP(B24,'[3]Sheet1'!$B$16:$N$74,13,0))+24272529</f>
        <v>7857648200.740001</v>
      </c>
      <c r="O24" s="34">
        <f t="shared" si="1"/>
        <v>0.03413709029173381</v>
      </c>
      <c r="P24" s="36"/>
    </row>
    <row r="25" spans="1:17" ht="15">
      <c r="A25" s="12">
        <v>10</v>
      </c>
      <c r="B25" s="13" t="s">
        <v>25</v>
      </c>
      <c r="C25" s="14" t="s">
        <v>26</v>
      </c>
      <c r="D25" s="15" t="s">
        <v>14</v>
      </c>
      <c r="E25" s="16" t="s">
        <v>14</v>
      </c>
      <c r="F25" s="16"/>
      <c r="G25" s="17">
        <f>VLOOKUP(B25,'[1]Brokers'!$B$9:$H$67,7,0)</f>
        <v>745903063.66</v>
      </c>
      <c r="H25" s="17">
        <f>VLOOKUP(B25,'[1]Brokers'!$B$9:$W$67,22,0)</f>
        <v>68097200</v>
      </c>
      <c r="I25" s="17">
        <f>VLOOKUP(B25,'[2]Brokers'!$B$9:$R$67,17,0)</f>
        <v>0</v>
      </c>
      <c r="J25" s="17">
        <f>VLOOKUP(B25,'[1]Brokers'!$B$9:$W$67,12,0)</f>
        <v>0</v>
      </c>
      <c r="K25" s="17">
        <v>0</v>
      </c>
      <c r="L25" s="17">
        <v>0</v>
      </c>
      <c r="M25" s="18">
        <f t="shared" si="0"/>
        <v>814000263.66</v>
      </c>
      <c r="N25" s="31">
        <f>(VLOOKUP(B25,'[3]Sheet1'!$B$16:$N$74,13,0))+814000263.66</f>
        <v>7025315498.799999</v>
      </c>
      <c r="O25" s="34">
        <f t="shared" si="1"/>
        <v>0.030521069839683956</v>
      </c>
      <c r="P25" s="36"/>
      <c r="Q25" s="1"/>
    </row>
    <row r="26" spans="1:16" ht="15">
      <c r="A26" s="12">
        <v>11</v>
      </c>
      <c r="B26" s="13" t="s">
        <v>23</v>
      </c>
      <c r="C26" s="14" t="s">
        <v>24</v>
      </c>
      <c r="D26" s="15" t="s">
        <v>14</v>
      </c>
      <c r="E26" s="16" t="s">
        <v>14</v>
      </c>
      <c r="F26" s="16"/>
      <c r="G26" s="17">
        <f>VLOOKUP(B26,'[1]Brokers'!$B$9:$H$67,7,0)</f>
        <v>128587551.36</v>
      </c>
      <c r="H26" s="17">
        <f>VLOOKUP(B26,'[1]Brokers'!$B$9:$W$67,22,0)</f>
        <v>0</v>
      </c>
      <c r="I26" s="17">
        <f>VLOOKUP(B26,'[2]Brokers'!$B$9:$R$67,17,0)</f>
        <v>0</v>
      </c>
      <c r="J26" s="17">
        <f>VLOOKUP(B26,'[1]Brokers'!$B$9:$W$67,12,0)</f>
        <v>0</v>
      </c>
      <c r="K26" s="17">
        <v>0</v>
      </c>
      <c r="L26" s="17">
        <v>0</v>
      </c>
      <c r="M26" s="18">
        <f t="shared" si="0"/>
        <v>128587551.36</v>
      </c>
      <c r="N26" s="31">
        <f>(VLOOKUP(B26,'[3]Sheet1'!$B$16:$N$74,13,0))+128587551.36</f>
        <v>4224182977.9400005</v>
      </c>
      <c r="O26" s="34">
        <f t="shared" si="1"/>
        <v>0.01835171441159233</v>
      </c>
      <c r="P26" s="36"/>
    </row>
    <row r="27" spans="1:16" ht="15">
      <c r="A27" s="12">
        <v>12</v>
      </c>
      <c r="B27" s="13" t="s">
        <v>79</v>
      </c>
      <c r="C27" s="14" t="s">
        <v>136</v>
      </c>
      <c r="D27" s="15" t="s">
        <v>14</v>
      </c>
      <c r="E27" s="16"/>
      <c r="F27" s="16"/>
      <c r="G27" s="17">
        <f>VLOOKUP(B27,'[1]Brokers'!$B$9:$H$67,7,0)</f>
        <v>129409160.75</v>
      </c>
      <c r="H27" s="17">
        <f>VLOOKUP(B27,'[1]Brokers'!$B$9:$W$67,22,0)</f>
        <v>0</v>
      </c>
      <c r="I27" s="17">
        <f>VLOOKUP(B27,'[2]Brokers'!$B$9:$R$67,17,0)</f>
        <v>0</v>
      </c>
      <c r="J27" s="17">
        <f>VLOOKUP(B27,'[1]Brokers'!$B$9:$W$67,12,0)</f>
        <v>0</v>
      </c>
      <c r="K27" s="17">
        <v>0</v>
      </c>
      <c r="L27" s="17">
        <v>0</v>
      </c>
      <c r="M27" s="18">
        <f t="shared" si="0"/>
        <v>129409160.75</v>
      </c>
      <c r="N27" s="31">
        <f>(VLOOKUP(B27,'[3]Sheet1'!$B$16:$N$74,13,0))+129409160.75</f>
        <v>1529477991.8</v>
      </c>
      <c r="O27" s="34">
        <f t="shared" si="1"/>
        <v>0.00664472714626995</v>
      </c>
      <c r="P27" s="36"/>
    </row>
    <row r="28" spans="1:16" ht="15">
      <c r="A28" s="12">
        <v>13</v>
      </c>
      <c r="B28" s="13" t="s">
        <v>35</v>
      </c>
      <c r="C28" s="14" t="s">
        <v>36</v>
      </c>
      <c r="D28" s="15" t="s">
        <v>14</v>
      </c>
      <c r="E28" s="16" t="s">
        <v>14</v>
      </c>
      <c r="F28" s="16"/>
      <c r="G28" s="17">
        <f>VLOOKUP(B28,'[1]Brokers'!$B$9:$H$67,7,0)</f>
        <v>103418919.02000001</v>
      </c>
      <c r="H28" s="17">
        <f>VLOOKUP(B28,'[1]Brokers'!$B$9:$W$67,22,0)</f>
        <v>0</v>
      </c>
      <c r="I28" s="17">
        <f>VLOOKUP(B28,'[2]Brokers'!$B$9:$R$67,17,0)</f>
        <v>0</v>
      </c>
      <c r="J28" s="17">
        <f>VLOOKUP(B28,'[1]Brokers'!$B$9:$W$67,12,0)</f>
        <v>0</v>
      </c>
      <c r="K28" s="17">
        <v>0</v>
      </c>
      <c r="L28" s="17">
        <v>0</v>
      </c>
      <c r="M28" s="18">
        <f t="shared" si="0"/>
        <v>103418919.02000001</v>
      </c>
      <c r="N28" s="31">
        <f>(VLOOKUP(B28,'[3]Sheet1'!$B$16:$N$74,13,0))+103418919.02</f>
        <v>1498884448.84</v>
      </c>
      <c r="O28" s="34">
        <f t="shared" si="1"/>
        <v>0.006511815298896685</v>
      </c>
      <c r="P28" s="36"/>
    </row>
    <row r="29" spans="1:16" ht="15">
      <c r="A29" s="12">
        <v>14</v>
      </c>
      <c r="B29" s="13" t="s">
        <v>51</v>
      </c>
      <c r="C29" s="14" t="s">
        <v>52</v>
      </c>
      <c r="D29" s="15" t="s">
        <v>14</v>
      </c>
      <c r="E29" s="16" t="s">
        <v>14</v>
      </c>
      <c r="F29" s="16"/>
      <c r="G29" s="17">
        <f>VLOOKUP(B29,'[1]Brokers'!$B$9:$H$67,7,0)</f>
        <v>47393424.19</v>
      </c>
      <c r="H29" s="17">
        <f>VLOOKUP(B29,'[1]Brokers'!$B$9:$W$67,22,0)</f>
        <v>0</v>
      </c>
      <c r="I29" s="17">
        <f>VLOOKUP(B29,'[2]Brokers'!$B$9:$R$67,17,0)</f>
        <v>0</v>
      </c>
      <c r="J29" s="17">
        <f>VLOOKUP(B29,'[1]Brokers'!$B$9:$W$67,12,0)</f>
        <v>0</v>
      </c>
      <c r="K29" s="17">
        <v>0</v>
      </c>
      <c r="L29" s="17">
        <v>0</v>
      </c>
      <c r="M29" s="18">
        <f t="shared" si="0"/>
        <v>47393424.19</v>
      </c>
      <c r="N29" s="31">
        <f>(VLOOKUP(B29,'[3]Sheet1'!$B$16:$N$74,13,0))+47393424.19</f>
        <v>1382049881.6599998</v>
      </c>
      <c r="O29" s="34">
        <f t="shared" si="1"/>
        <v>0.006004234395918146</v>
      </c>
      <c r="P29" s="36"/>
    </row>
    <row r="30" spans="1:16" ht="15">
      <c r="A30" s="12">
        <v>15</v>
      </c>
      <c r="B30" s="13" t="s">
        <v>108</v>
      </c>
      <c r="C30" s="14" t="s">
        <v>109</v>
      </c>
      <c r="D30" s="15" t="s">
        <v>14</v>
      </c>
      <c r="E30" s="16"/>
      <c r="F30" s="16"/>
      <c r="G30" s="17">
        <f>VLOOKUP(B30,'[1]Brokers'!$B$9:$H$67,7,0)</f>
        <v>70334756</v>
      </c>
      <c r="H30" s="17">
        <f>VLOOKUP(B30,'[1]Brokers'!$B$9:$W$67,22,0)</f>
        <v>0</v>
      </c>
      <c r="I30" s="17">
        <f>VLOOKUP(B30,'[2]Brokers'!$B$9:$R$67,17,0)</f>
        <v>0</v>
      </c>
      <c r="J30" s="17">
        <f>VLOOKUP(B30,'[1]Brokers'!$B$9:$W$67,12,0)</f>
        <v>0</v>
      </c>
      <c r="K30" s="17">
        <v>0</v>
      </c>
      <c r="L30" s="17">
        <v>0</v>
      </c>
      <c r="M30" s="18">
        <f t="shared" si="0"/>
        <v>70334756</v>
      </c>
      <c r="N30" s="31">
        <f>(VLOOKUP(B30,'[3]Sheet1'!$B$16:$N$74,13,0))+70334756</f>
        <v>944214658.01</v>
      </c>
      <c r="O30" s="34">
        <f t="shared" si="1"/>
        <v>0.004102085027455211</v>
      </c>
      <c r="P30" s="36"/>
    </row>
    <row r="31" spans="1:16" ht="15">
      <c r="A31" s="12">
        <v>16</v>
      </c>
      <c r="B31" s="13" t="s">
        <v>82</v>
      </c>
      <c r="C31" s="14" t="s">
        <v>83</v>
      </c>
      <c r="D31" s="15" t="s">
        <v>14</v>
      </c>
      <c r="E31" s="16"/>
      <c r="F31" s="16"/>
      <c r="G31" s="17">
        <f>VLOOKUP(B31,'[1]Brokers'!$B$9:$H$67,7,0)</f>
        <v>84913654</v>
      </c>
      <c r="H31" s="17">
        <f>VLOOKUP(B31,'[1]Brokers'!$B$9:$W$67,22,0)</f>
        <v>0</v>
      </c>
      <c r="I31" s="17">
        <f>VLOOKUP(B31,'[2]Brokers'!$B$9:$R$67,17,0)</f>
        <v>0</v>
      </c>
      <c r="J31" s="17">
        <f>VLOOKUP(B31,'[1]Brokers'!$B$9:$W$67,12,0)</f>
        <v>0</v>
      </c>
      <c r="K31" s="17">
        <v>0</v>
      </c>
      <c r="L31" s="17">
        <v>0</v>
      </c>
      <c r="M31" s="18">
        <f t="shared" si="0"/>
        <v>84913654</v>
      </c>
      <c r="N31" s="31">
        <f>(VLOOKUP(B31,'[3]Sheet1'!$B$16:$N$74,13,0))+84913654</f>
        <v>846297016.3399999</v>
      </c>
      <c r="O31" s="34">
        <f t="shared" si="1"/>
        <v>0.0036766875943495094</v>
      </c>
      <c r="P31" s="36"/>
    </row>
    <row r="32" spans="1:16" ht="15">
      <c r="A32" s="12">
        <v>17</v>
      </c>
      <c r="B32" s="13" t="s">
        <v>67</v>
      </c>
      <c r="C32" s="14" t="s">
        <v>68</v>
      </c>
      <c r="D32" s="15" t="s">
        <v>14</v>
      </c>
      <c r="E32" s="16"/>
      <c r="F32" s="16"/>
      <c r="G32" s="17">
        <f>VLOOKUP(B32,'[1]Brokers'!$B$9:$H$67,7,0)</f>
        <v>14083540.5</v>
      </c>
      <c r="H32" s="17">
        <f>VLOOKUP(B32,'[1]Brokers'!$B$9:$W$67,22,0)</f>
        <v>0</v>
      </c>
      <c r="I32" s="17">
        <f>VLOOKUP(B32,'[2]Brokers'!$B$9:$R$67,17,0)</f>
        <v>0</v>
      </c>
      <c r="J32" s="17">
        <f>VLOOKUP(B32,'[1]Brokers'!$B$9:$W$67,12,0)</f>
        <v>0</v>
      </c>
      <c r="K32" s="17">
        <v>0</v>
      </c>
      <c r="L32" s="17">
        <v>0</v>
      </c>
      <c r="M32" s="18">
        <f t="shared" si="0"/>
        <v>14083540.5</v>
      </c>
      <c r="N32" s="31">
        <f>(VLOOKUP(B32,'[3]Sheet1'!$B$16:$N$74,13,0))+14083540.5</f>
        <v>811666881.9300001</v>
      </c>
      <c r="O32" s="34">
        <f t="shared" si="1"/>
        <v>0.0035262390129205635</v>
      </c>
      <c r="P32" s="36"/>
    </row>
    <row r="33" spans="1:16" ht="15">
      <c r="A33" s="12">
        <v>18</v>
      </c>
      <c r="B33" s="13" t="s">
        <v>61</v>
      </c>
      <c r="C33" s="14" t="s">
        <v>62</v>
      </c>
      <c r="D33" s="15" t="s">
        <v>14</v>
      </c>
      <c r="E33" s="16" t="s">
        <v>14</v>
      </c>
      <c r="F33" s="16" t="s">
        <v>14</v>
      </c>
      <c r="G33" s="17">
        <f>VLOOKUP(B33,'[1]Brokers'!$B$9:$H$67,7,0)</f>
        <v>2677376.5</v>
      </c>
      <c r="H33" s="17">
        <f>VLOOKUP(B33,'[1]Brokers'!$B$9:$W$67,22,0)</f>
        <v>0</v>
      </c>
      <c r="I33" s="17">
        <f>VLOOKUP(B33,'[2]Brokers'!$B$9:$R$67,17,0)</f>
        <v>0</v>
      </c>
      <c r="J33" s="17">
        <f>VLOOKUP(B33,'[1]Brokers'!$B$9:$W$67,12,0)</f>
        <v>0</v>
      </c>
      <c r="K33" s="17">
        <v>0</v>
      </c>
      <c r="L33" s="17">
        <v>0</v>
      </c>
      <c r="M33" s="18">
        <f t="shared" si="0"/>
        <v>2677376.5</v>
      </c>
      <c r="N33" s="31">
        <f>(VLOOKUP(B33,'[3]Sheet1'!$B$16:$N$74,13,0))+2677376.5</f>
        <v>657142127.47</v>
      </c>
      <c r="O33" s="34">
        <f t="shared" si="1"/>
        <v>0.00285491530886211</v>
      </c>
      <c r="P33" s="36"/>
    </row>
    <row r="34" spans="1:16" ht="15">
      <c r="A34" s="12">
        <v>19</v>
      </c>
      <c r="B34" s="13" t="s">
        <v>47</v>
      </c>
      <c r="C34" s="14" t="s">
        <v>48</v>
      </c>
      <c r="D34" s="15" t="s">
        <v>14</v>
      </c>
      <c r="E34" s="16"/>
      <c r="F34" s="16"/>
      <c r="G34" s="17">
        <f>VLOOKUP(B34,'[1]Brokers'!$B$9:$H$67,7,0)</f>
        <v>80365625.19</v>
      </c>
      <c r="H34" s="17">
        <f>VLOOKUP(B34,'[1]Brokers'!$B$9:$W$67,22,0)</f>
        <v>0</v>
      </c>
      <c r="I34" s="17">
        <f>VLOOKUP(B34,'[2]Brokers'!$B$9:$R$67,17,0)</f>
        <v>0</v>
      </c>
      <c r="J34" s="17">
        <f>VLOOKUP(B34,'[1]Brokers'!$B$9:$W$67,12,0)</f>
        <v>0</v>
      </c>
      <c r="K34" s="17">
        <v>0</v>
      </c>
      <c r="L34" s="17">
        <v>0</v>
      </c>
      <c r="M34" s="18">
        <f t="shared" si="0"/>
        <v>80365625.19</v>
      </c>
      <c r="N34" s="31">
        <f>(VLOOKUP(B34,'[3]Sheet1'!$B$16:$N$74,13,0))+80365625.19</f>
        <v>646266547.6500001</v>
      </c>
      <c r="O34" s="34">
        <f t="shared" si="1"/>
        <v>0.0028076669922149824</v>
      </c>
      <c r="P34" s="36"/>
    </row>
    <row r="35" spans="1:16" ht="15">
      <c r="A35" s="12">
        <v>20</v>
      </c>
      <c r="B35" s="13" t="s">
        <v>59</v>
      </c>
      <c r="C35" s="14" t="s">
        <v>60</v>
      </c>
      <c r="D35" s="15" t="s">
        <v>14</v>
      </c>
      <c r="E35" s="16"/>
      <c r="F35" s="16"/>
      <c r="G35" s="17">
        <f>VLOOKUP(B35,'[1]Brokers'!$B$9:$H$67,7,0)</f>
        <v>63088494.06999999</v>
      </c>
      <c r="H35" s="17">
        <f>VLOOKUP(B35,'[1]Brokers'!$B$9:$W$67,22,0)</f>
        <v>0</v>
      </c>
      <c r="I35" s="17">
        <f>VLOOKUP(B35,'[2]Brokers'!$B$9:$R$67,17,0)</f>
        <v>0</v>
      </c>
      <c r="J35" s="17">
        <f>VLOOKUP(B35,'[1]Brokers'!$B$9:$W$67,12,0)</f>
        <v>0</v>
      </c>
      <c r="K35" s="17">
        <v>0</v>
      </c>
      <c r="L35" s="17">
        <v>0</v>
      </c>
      <c r="M35" s="18">
        <f t="shared" si="0"/>
        <v>63088494.06999999</v>
      </c>
      <c r="N35" s="31">
        <f>(VLOOKUP(B35,'[3]Sheet1'!$B$16:$N$74,13,0))+63088494.07</f>
        <v>641180881.05</v>
      </c>
      <c r="O35" s="34">
        <f t="shared" si="1"/>
        <v>0.002785572612894016</v>
      </c>
      <c r="P35" s="36"/>
    </row>
    <row r="36" spans="1:16" ht="15">
      <c r="A36" s="12">
        <v>21</v>
      </c>
      <c r="B36" s="13" t="s">
        <v>94</v>
      </c>
      <c r="C36" s="14" t="s">
        <v>95</v>
      </c>
      <c r="D36" s="15" t="s">
        <v>14</v>
      </c>
      <c r="E36" s="16" t="s">
        <v>14</v>
      </c>
      <c r="F36" s="16" t="s">
        <v>14</v>
      </c>
      <c r="G36" s="17">
        <f>VLOOKUP(B36,'[1]Brokers'!$B$9:$H$67,7,0)</f>
        <v>173506991.22</v>
      </c>
      <c r="H36" s="17">
        <f>VLOOKUP(B36,'[1]Brokers'!$B$9:$W$67,22,0)</f>
        <v>0</v>
      </c>
      <c r="I36" s="17">
        <f>VLOOKUP(B36,'[2]Brokers'!$B$9:$R$67,17,0)</f>
        <v>0</v>
      </c>
      <c r="J36" s="17">
        <f>VLOOKUP(B36,'[1]Brokers'!$B$9:$W$67,12,0)</f>
        <v>0</v>
      </c>
      <c r="K36" s="17">
        <v>0</v>
      </c>
      <c r="L36" s="17">
        <v>0</v>
      </c>
      <c r="M36" s="18">
        <f t="shared" si="0"/>
        <v>173506991.22</v>
      </c>
      <c r="N36" s="31">
        <f>(VLOOKUP(B36,'[3]Sheet1'!$B$16:$N$74,13,0))+173506991.22</f>
        <v>583294258.96</v>
      </c>
      <c r="O36" s="34">
        <f t="shared" si="1"/>
        <v>0.002534087589069241</v>
      </c>
      <c r="P36" s="36"/>
    </row>
    <row r="37" spans="1:16" ht="15">
      <c r="A37" s="12">
        <v>22</v>
      </c>
      <c r="B37" s="13" t="s">
        <v>122</v>
      </c>
      <c r="C37" s="14" t="s">
        <v>123</v>
      </c>
      <c r="D37" s="15" t="s">
        <v>14</v>
      </c>
      <c r="E37" s="16"/>
      <c r="F37" s="16"/>
      <c r="G37" s="17">
        <f>VLOOKUP(B37,'[1]Brokers'!$B$9:$H$67,7,0)</f>
        <v>118695538.7</v>
      </c>
      <c r="H37" s="17">
        <f>VLOOKUP(B37,'[1]Brokers'!$B$9:$W$67,22,0)</f>
        <v>0</v>
      </c>
      <c r="I37" s="17">
        <f>VLOOKUP(B37,'[2]Brokers'!$B$9:$R$67,17,0)</f>
        <v>0</v>
      </c>
      <c r="J37" s="17">
        <f>VLOOKUP(B37,'[1]Brokers'!$B$9:$W$67,12,0)</f>
        <v>0</v>
      </c>
      <c r="K37" s="17">
        <v>0</v>
      </c>
      <c r="L37" s="17">
        <v>0</v>
      </c>
      <c r="M37" s="18">
        <f t="shared" si="0"/>
        <v>118695538.7</v>
      </c>
      <c r="N37" s="31">
        <f>(VLOOKUP(B37,'[3]Sheet1'!$B$16:$N$74,13,0))+118695538.7</f>
        <v>494674670.15999997</v>
      </c>
      <c r="O37" s="34">
        <f t="shared" si="1"/>
        <v>0.002149084999592529</v>
      </c>
      <c r="P37" s="36"/>
    </row>
    <row r="38" spans="1:16" ht="15">
      <c r="A38" s="12">
        <v>23</v>
      </c>
      <c r="B38" s="13" t="s">
        <v>43</v>
      </c>
      <c r="C38" s="14" t="s">
        <v>44</v>
      </c>
      <c r="D38" s="15" t="s">
        <v>14</v>
      </c>
      <c r="E38" s="16" t="s">
        <v>14</v>
      </c>
      <c r="F38" s="16"/>
      <c r="G38" s="17">
        <f>VLOOKUP(B38,'[1]Brokers'!$B$9:$H$67,7,0)</f>
        <v>6998776</v>
      </c>
      <c r="H38" s="17">
        <f>VLOOKUP(B38,'[1]Brokers'!$B$9:$W$67,22,0)</f>
        <v>0</v>
      </c>
      <c r="I38" s="17">
        <f>VLOOKUP(B38,'[2]Brokers'!$B$9:$R$67,17,0)</f>
        <v>0</v>
      </c>
      <c r="J38" s="17">
        <f>VLOOKUP(B38,'[1]Brokers'!$B$9:$W$67,12,0)</f>
        <v>0</v>
      </c>
      <c r="K38" s="17">
        <v>0</v>
      </c>
      <c r="L38" s="17">
        <v>0</v>
      </c>
      <c r="M38" s="18">
        <f t="shared" si="0"/>
        <v>6998776</v>
      </c>
      <c r="N38" s="31">
        <f>(VLOOKUP(B38,'[3]Sheet1'!$B$16:$N$74,13,0))+6998776</f>
        <v>482607845.31000006</v>
      </c>
      <c r="O38" s="34">
        <f t="shared" si="1"/>
        <v>0.002096661389001234</v>
      </c>
      <c r="P38" s="36"/>
    </row>
    <row r="39" spans="1:16" ht="15">
      <c r="A39" s="12">
        <v>24</v>
      </c>
      <c r="B39" s="13" t="s">
        <v>69</v>
      </c>
      <c r="C39" s="14" t="s">
        <v>70</v>
      </c>
      <c r="D39" s="15" t="s">
        <v>14</v>
      </c>
      <c r="E39" s="16"/>
      <c r="F39" s="16"/>
      <c r="G39" s="17">
        <f>VLOOKUP(B39,'[1]Brokers'!$B$9:$H$67,7,0)</f>
        <v>7173843</v>
      </c>
      <c r="H39" s="17">
        <f>VLOOKUP(B39,'[1]Brokers'!$B$9:$W$67,22,0)</f>
        <v>0</v>
      </c>
      <c r="I39" s="17">
        <f>VLOOKUP(B39,'[2]Brokers'!$B$9:$R$67,17,0)</f>
        <v>0</v>
      </c>
      <c r="J39" s="17">
        <f>VLOOKUP(B39,'[1]Brokers'!$B$9:$W$67,12,0)</f>
        <v>0</v>
      </c>
      <c r="K39" s="17">
        <v>0</v>
      </c>
      <c r="L39" s="17">
        <v>0</v>
      </c>
      <c r="M39" s="18">
        <f t="shared" si="0"/>
        <v>7173843</v>
      </c>
      <c r="N39" s="31">
        <f>(VLOOKUP(B39,'[3]Sheet1'!$B$16:$N$74,13,0))+7173843</f>
        <v>388514192.84</v>
      </c>
      <c r="O39" s="34">
        <f t="shared" si="1"/>
        <v>0.0016878770519848586</v>
      </c>
      <c r="P39" s="36"/>
    </row>
    <row r="40" spans="1:16" ht="15">
      <c r="A40" s="12">
        <v>25</v>
      </c>
      <c r="B40" s="13" t="s">
        <v>55</v>
      </c>
      <c r="C40" s="14" t="s">
        <v>56</v>
      </c>
      <c r="D40" s="15" t="s">
        <v>14</v>
      </c>
      <c r="E40" s="16"/>
      <c r="F40" s="16"/>
      <c r="G40" s="17">
        <f>VLOOKUP(B40,'[1]Brokers'!$B$9:$H$67,7,0)</f>
        <v>20927085</v>
      </c>
      <c r="H40" s="17">
        <f>VLOOKUP(B40,'[1]Brokers'!$B$9:$W$67,22,0)</f>
        <v>0</v>
      </c>
      <c r="I40" s="17">
        <f>VLOOKUP(B40,'[2]Brokers'!$B$9:$R$67,17,0)</f>
        <v>0</v>
      </c>
      <c r="J40" s="17">
        <f>VLOOKUP(B40,'[1]Brokers'!$B$9:$W$67,12,0)</f>
        <v>0</v>
      </c>
      <c r="K40" s="17">
        <v>0</v>
      </c>
      <c r="L40" s="17">
        <v>0</v>
      </c>
      <c r="M40" s="18">
        <f t="shared" si="0"/>
        <v>20927085</v>
      </c>
      <c r="N40" s="31">
        <f>(VLOOKUP(B40,'[3]Sheet1'!$B$16:$N$74,13,0))+20927085</f>
        <v>387445390.91999996</v>
      </c>
      <c r="O40" s="34">
        <f t="shared" si="1"/>
        <v>0.0016832337049279642</v>
      </c>
      <c r="P40" s="36"/>
    </row>
    <row r="41" spans="1:16" ht="15">
      <c r="A41" s="12">
        <v>26</v>
      </c>
      <c r="B41" s="13" t="s">
        <v>17</v>
      </c>
      <c r="C41" s="14" t="s">
        <v>18</v>
      </c>
      <c r="D41" s="15" t="s">
        <v>14</v>
      </c>
      <c r="E41" s="16" t="s">
        <v>14</v>
      </c>
      <c r="F41" s="16" t="s">
        <v>14</v>
      </c>
      <c r="G41" s="17">
        <f>VLOOKUP(B41,'[1]Brokers'!$B$9:$H$67,7,0)</f>
        <v>6674661.32</v>
      </c>
      <c r="H41" s="17">
        <f>VLOOKUP(B41,'[1]Brokers'!$B$9:$W$67,22,0)</f>
        <v>0</v>
      </c>
      <c r="I41" s="17">
        <f>VLOOKUP(B41,'[2]Brokers'!$B$9:$R$67,17,0)</f>
        <v>0</v>
      </c>
      <c r="J41" s="17">
        <f>VLOOKUP(B41,'[1]Brokers'!$B$9:$W$67,12,0)</f>
        <v>0</v>
      </c>
      <c r="K41" s="17">
        <v>0</v>
      </c>
      <c r="L41" s="17">
        <v>0</v>
      </c>
      <c r="M41" s="18">
        <f t="shared" si="0"/>
        <v>6674661.32</v>
      </c>
      <c r="N41" s="31">
        <f>(VLOOKUP(B41,'[3]Sheet1'!$B$16:$N$74,13,0))+6674661.32</f>
        <v>378211850.64000005</v>
      </c>
      <c r="O41" s="34">
        <f t="shared" si="1"/>
        <v>0.001643119132450536</v>
      </c>
      <c r="P41" s="36"/>
    </row>
    <row r="42" spans="1:16" ht="15">
      <c r="A42" s="12">
        <v>27</v>
      </c>
      <c r="B42" s="13" t="s">
        <v>77</v>
      </c>
      <c r="C42" s="14" t="s">
        <v>78</v>
      </c>
      <c r="D42" s="15" t="s">
        <v>14</v>
      </c>
      <c r="E42" s="16"/>
      <c r="F42" s="16"/>
      <c r="G42" s="17">
        <f>VLOOKUP(B42,'[1]Brokers'!$B$9:$H$67,7,0)</f>
        <v>63243742</v>
      </c>
      <c r="H42" s="17">
        <f>VLOOKUP(B42,'[1]Brokers'!$B$9:$W$67,22,0)</f>
        <v>0</v>
      </c>
      <c r="I42" s="17">
        <f>VLOOKUP(B42,'[2]Brokers'!$B$9:$R$67,17,0)</f>
        <v>0</v>
      </c>
      <c r="J42" s="17">
        <f>VLOOKUP(B42,'[1]Brokers'!$B$9:$W$67,12,0)</f>
        <v>0</v>
      </c>
      <c r="K42" s="17">
        <v>0</v>
      </c>
      <c r="L42" s="17">
        <v>0</v>
      </c>
      <c r="M42" s="18">
        <f t="shared" si="0"/>
        <v>63243742</v>
      </c>
      <c r="N42" s="31">
        <f>(VLOOKUP(B42,'[3]Sheet1'!$B$16:$N$74,13,0))+63243742</f>
        <v>371834263.88000005</v>
      </c>
      <c r="O42" s="34">
        <f t="shared" si="1"/>
        <v>0.001615412082006488</v>
      </c>
      <c r="P42" s="36"/>
    </row>
    <row r="43" spans="1:16" ht="15">
      <c r="A43" s="12">
        <v>28</v>
      </c>
      <c r="B43" s="13" t="s">
        <v>33</v>
      </c>
      <c r="C43" s="14" t="s">
        <v>34</v>
      </c>
      <c r="D43" s="15" t="s">
        <v>14</v>
      </c>
      <c r="E43" s="16" t="s">
        <v>14</v>
      </c>
      <c r="F43" s="16"/>
      <c r="G43" s="17">
        <f>VLOOKUP(B43,'[1]Brokers'!$B$9:$H$67,7,0)</f>
        <v>29490890</v>
      </c>
      <c r="H43" s="17">
        <f>VLOOKUP(B43,'[1]Brokers'!$B$9:$W$67,22,0)</f>
        <v>0</v>
      </c>
      <c r="I43" s="17">
        <f>VLOOKUP(B43,'[2]Brokers'!$B$9:$R$67,17,0)</f>
        <v>0</v>
      </c>
      <c r="J43" s="17">
        <f>VLOOKUP(B43,'[1]Brokers'!$B$9:$W$67,12,0)</f>
        <v>0</v>
      </c>
      <c r="K43" s="17">
        <v>0</v>
      </c>
      <c r="L43" s="17">
        <v>0</v>
      </c>
      <c r="M43" s="18">
        <f t="shared" si="0"/>
        <v>29490890</v>
      </c>
      <c r="N43" s="31">
        <f>(VLOOKUP(B43,'[3]Sheet1'!$B$16:$N$74,13,0))+29490890</f>
        <v>291909743.95</v>
      </c>
      <c r="O43" s="34">
        <f t="shared" si="1"/>
        <v>0.0012681847076482235</v>
      </c>
      <c r="P43" s="36"/>
    </row>
    <row r="44" spans="1:16" ht="15">
      <c r="A44" s="12">
        <v>29</v>
      </c>
      <c r="B44" s="13" t="s">
        <v>73</v>
      </c>
      <c r="C44" s="14" t="s">
        <v>74</v>
      </c>
      <c r="D44" s="15" t="s">
        <v>14</v>
      </c>
      <c r="E44" s="16"/>
      <c r="F44" s="16"/>
      <c r="G44" s="17">
        <f>VLOOKUP(B44,'[1]Brokers'!$B$9:$H$67,7,0)</f>
        <v>11735102.5</v>
      </c>
      <c r="H44" s="17">
        <f>VLOOKUP(B44,'[1]Brokers'!$B$9:$W$67,22,0)</f>
        <v>0</v>
      </c>
      <c r="I44" s="17">
        <f>VLOOKUP(B44,'[2]Brokers'!$B$9:$R$67,17,0)</f>
        <v>0</v>
      </c>
      <c r="J44" s="17">
        <f>VLOOKUP(B44,'[1]Brokers'!$B$9:$W$67,12,0)</f>
        <v>0</v>
      </c>
      <c r="K44" s="17">
        <v>0</v>
      </c>
      <c r="L44" s="17">
        <v>0</v>
      </c>
      <c r="M44" s="18">
        <f t="shared" si="0"/>
        <v>11735102.5</v>
      </c>
      <c r="N44" s="31">
        <f>(VLOOKUP(B44,'[3]Sheet1'!$B$16:$N$74,13,0))+11735102.5</f>
        <v>267835835.86</v>
      </c>
      <c r="O44" s="34">
        <f t="shared" si="1"/>
        <v>0.0011635970303752916</v>
      </c>
      <c r="P44" s="36"/>
    </row>
    <row r="45" spans="1:16" ht="15">
      <c r="A45" s="12">
        <v>30</v>
      </c>
      <c r="B45" s="13" t="s">
        <v>49</v>
      </c>
      <c r="C45" s="14" t="s">
        <v>50</v>
      </c>
      <c r="D45" s="15" t="s">
        <v>14</v>
      </c>
      <c r="E45" s="16"/>
      <c r="F45" s="16"/>
      <c r="G45" s="17">
        <f>VLOOKUP(B45,'[1]Brokers'!$B$9:$H$67,7,0)</f>
        <v>26030980</v>
      </c>
      <c r="H45" s="17">
        <f>VLOOKUP(B45,'[1]Brokers'!$B$9:$W$67,22,0)</f>
        <v>0</v>
      </c>
      <c r="I45" s="17">
        <f>VLOOKUP(B45,'[2]Brokers'!$B$9:$R$67,17,0)</f>
        <v>0</v>
      </c>
      <c r="J45" s="17">
        <f>VLOOKUP(B45,'[1]Brokers'!$B$9:$W$67,12,0)</f>
        <v>0</v>
      </c>
      <c r="K45" s="17">
        <v>0</v>
      </c>
      <c r="L45" s="17">
        <v>0</v>
      </c>
      <c r="M45" s="18">
        <f t="shared" si="0"/>
        <v>26030980</v>
      </c>
      <c r="N45" s="31">
        <f>(VLOOKUP(B45,'[3]Sheet1'!$B$16:$N$74,13,0))+26030980</f>
        <v>216263329.91</v>
      </c>
      <c r="O45" s="34">
        <f t="shared" si="1"/>
        <v>0.000939543312620362</v>
      </c>
      <c r="P45" s="36"/>
    </row>
    <row r="46" spans="1:16" ht="15">
      <c r="A46" s="12">
        <v>31</v>
      </c>
      <c r="B46" s="13" t="s">
        <v>53</v>
      </c>
      <c r="C46" s="14" t="s">
        <v>54</v>
      </c>
      <c r="D46" s="15" t="s">
        <v>14</v>
      </c>
      <c r="E46" s="16"/>
      <c r="F46" s="16"/>
      <c r="G46" s="17">
        <f>VLOOKUP(B46,'[1]Brokers'!$B$9:$H$67,7,0)</f>
        <v>23601426</v>
      </c>
      <c r="H46" s="17">
        <f>VLOOKUP(B46,'[1]Brokers'!$B$9:$W$67,22,0)</f>
        <v>0</v>
      </c>
      <c r="I46" s="17">
        <f>VLOOKUP(B46,'[2]Brokers'!$B$9:$R$67,17,0)</f>
        <v>0</v>
      </c>
      <c r="J46" s="17">
        <f>VLOOKUP(B46,'[1]Brokers'!$B$9:$W$67,12,0)</f>
        <v>0</v>
      </c>
      <c r="K46" s="17">
        <v>0</v>
      </c>
      <c r="L46" s="17">
        <v>0</v>
      </c>
      <c r="M46" s="18">
        <f t="shared" si="0"/>
        <v>23601426</v>
      </c>
      <c r="N46" s="31">
        <f>(VLOOKUP(B46,'[3]Sheet1'!$B$16:$N$74,13,0))+23601426</f>
        <v>188966592.82999998</v>
      </c>
      <c r="O46" s="34">
        <f t="shared" si="1"/>
        <v>0.0008209542444202964</v>
      </c>
      <c r="P46" s="36"/>
    </row>
    <row r="47" spans="1:16" ht="15">
      <c r="A47" s="12">
        <v>32</v>
      </c>
      <c r="B47" s="13" t="s">
        <v>75</v>
      </c>
      <c r="C47" s="14" t="s">
        <v>76</v>
      </c>
      <c r="D47" s="15" t="s">
        <v>14</v>
      </c>
      <c r="E47" s="16"/>
      <c r="F47" s="16"/>
      <c r="G47" s="17">
        <f>VLOOKUP(B47,'[1]Brokers'!$B$9:$H$67,7,0)</f>
        <v>0</v>
      </c>
      <c r="H47" s="17">
        <f>VLOOKUP(B47,'[1]Brokers'!$B$9:$W$67,22,0)</f>
        <v>0</v>
      </c>
      <c r="I47" s="17">
        <f>VLOOKUP(B47,'[2]Brokers'!$B$9:$R$67,17,0)</f>
        <v>0</v>
      </c>
      <c r="J47" s="17">
        <f>VLOOKUP(B47,'[1]Brokers'!$B$9:$W$67,12,0)</f>
        <v>0</v>
      </c>
      <c r="K47" s="17">
        <v>0</v>
      </c>
      <c r="L47" s="17">
        <v>0</v>
      </c>
      <c r="M47" s="18">
        <f t="shared" si="0"/>
        <v>0</v>
      </c>
      <c r="N47" s="31">
        <f>(VLOOKUP(B47,'[3]Sheet1'!$B$16:$N$74,13,0))+0</f>
        <v>176331062</v>
      </c>
      <c r="O47" s="34">
        <f t="shared" si="1"/>
        <v>0.0007660599241595505</v>
      </c>
      <c r="P47" s="36"/>
    </row>
    <row r="48" spans="1:16" ht="15">
      <c r="A48" s="12">
        <v>33</v>
      </c>
      <c r="B48" s="13" t="s">
        <v>65</v>
      </c>
      <c r="C48" s="14" t="s">
        <v>66</v>
      </c>
      <c r="D48" s="15" t="s">
        <v>14</v>
      </c>
      <c r="E48" s="16"/>
      <c r="F48" s="16"/>
      <c r="G48" s="17">
        <f>VLOOKUP(B48,'[1]Brokers'!$B$9:$H$67,7,0)</f>
        <v>71009385.55</v>
      </c>
      <c r="H48" s="17">
        <f>VLOOKUP(B48,'[1]Brokers'!$B$9:$W$67,22,0)</f>
        <v>0</v>
      </c>
      <c r="I48" s="17">
        <f>VLOOKUP(B48,'[2]Brokers'!$B$9:$R$67,17,0)</f>
        <v>0</v>
      </c>
      <c r="J48" s="17">
        <f>VLOOKUP(B48,'[1]Brokers'!$B$9:$W$67,12,0)</f>
        <v>0</v>
      </c>
      <c r="K48" s="17">
        <v>0</v>
      </c>
      <c r="L48" s="17">
        <v>0</v>
      </c>
      <c r="M48" s="18">
        <f aca="true" t="shared" si="2" ref="M48:M74">L48+I48+J48+H48+G48</f>
        <v>71009385.55</v>
      </c>
      <c r="N48" s="31">
        <f>(VLOOKUP(B48,'[3]Sheet1'!$B$16:$N$74,13,0))+71009385.55</f>
        <v>150297899.26999998</v>
      </c>
      <c r="O48" s="34">
        <f aca="true" t="shared" si="3" ref="O48:O74">N48/$N$75</f>
        <v>0.0006529603803787896</v>
      </c>
      <c r="P48" s="36"/>
    </row>
    <row r="49" spans="1:16" ht="15">
      <c r="A49" s="12">
        <v>34</v>
      </c>
      <c r="B49" s="13" t="s">
        <v>80</v>
      </c>
      <c r="C49" s="14" t="s">
        <v>81</v>
      </c>
      <c r="D49" s="15" t="s">
        <v>14</v>
      </c>
      <c r="E49" s="16"/>
      <c r="F49" s="16"/>
      <c r="G49" s="17">
        <f>VLOOKUP(B49,'[1]Brokers'!$B$9:$H$67,7,0)</f>
        <v>4581788.2</v>
      </c>
      <c r="H49" s="17">
        <f>VLOOKUP(B49,'[1]Brokers'!$B$9:$W$67,22,0)</f>
        <v>0</v>
      </c>
      <c r="I49" s="17">
        <f>VLOOKUP(B49,'[2]Brokers'!$B$9:$R$67,17,0)</f>
        <v>0</v>
      </c>
      <c r="J49" s="17">
        <f>VLOOKUP(B49,'[1]Brokers'!$B$9:$W$67,12,0)</f>
        <v>0</v>
      </c>
      <c r="K49" s="17">
        <v>0</v>
      </c>
      <c r="L49" s="17">
        <v>0</v>
      </c>
      <c r="M49" s="18">
        <f t="shared" si="2"/>
        <v>4581788.2</v>
      </c>
      <c r="N49" s="31">
        <f>(VLOOKUP(B49,'[3]Sheet1'!$B$16:$N$74,13,0))+4581788.2</f>
        <v>140349232.84</v>
      </c>
      <c r="O49" s="34">
        <f t="shared" si="3"/>
        <v>0.0006097389844181934</v>
      </c>
      <c r="P49" s="36"/>
    </row>
    <row r="50" spans="1:16" ht="15">
      <c r="A50" s="12">
        <v>35</v>
      </c>
      <c r="B50" s="13" t="s">
        <v>37</v>
      </c>
      <c r="C50" s="14" t="s">
        <v>38</v>
      </c>
      <c r="D50" s="15" t="s">
        <v>14</v>
      </c>
      <c r="E50" s="16" t="s">
        <v>14</v>
      </c>
      <c r="F50" s="16" t="s">
        <v>14</v>
      </c>
      <c r="G50" s="17">
        <f>VLOOKUP(B50,'[1]Brokers'!$B$9:$H$67,7,0)</f>
        <v>9520461</v>
      </c>
      <c r="H50" s="17">
        <f>VLOOKUP(B50,'[1]Brokers'!$B$9:$W$67,22,0)</f>
        <v>0</v>
      </c>
      <c r="I50" s="17">
        <f>VLOOKUP(B50,'[2]Brokers'!$B$9:$R$67,17,0)</f>
        <v>0</v>
      </c>
      <c r="J50" s="17">
        <f>VLOOKUP(B50,'[1]Brokers'!$B$9:$W$67,12,0)</f>
        <v>0</v>
      </c>
      <c r="K50" s="17">
        <v>0</v>
      </c>
      <c r="L50" s="17">
        <v>0</v>
      </c>
      <c r="M50" s="18">
        <f t="shared" si="2"/>
        <v>9520461</v>
      </c>
      <c r="N50" s="31">
        <f>(VLOOKUP(B50,'[3]Sheet1'!$B$16:$N$74,13,0))+9520461</f>
        <v>134713028.76999998</v>
      </c>
      <c r="O50" s="34">
        <f t="shared" si="3"/>
        <v>0.0005852528274505006</v>
      </c>
      <c r="P50" s="36"/>
    </row>
    <row r="51" spans="1:17" s="20" customFormat="1" ht="15">
      <c r="A51" s="12">
        <v>36</v>
      </c>
      <c r="B51" s="13" t="s">
        <v>63</v>
      </c>
      <c r="C51" s="14" t="s">
        <v>64</v>
      </c>
      <c r="D51" s="15" t="s">
        <v>14</v>
      </c>
      <c r="E51" s="16"/>
      <c r="F51" s="16"/>
      <c r="G51" s="17">
        <f>VLOOKUP(B51,'[1]Brokers'!$B$9:$H$67,7,0)</f>
        <v>48692060.09</v>
      </c>
      <c r="H51" s="17">
        <f>VLOOKUP(B51,'[1]Brokers'!$B$9:$W$67,22,0)</f>
        <v>0</v>
      </c>
      <c r="I51" s="17">
        <f>VLOOKUP(B51,'[2]Brokers'!$B$9:$R$67,17,0)</f>
        <v>0</v>
      </c>
      <c r="J51" s="17">
        <f>VLOOKUP(B51,'[1]Brokers'!$B$9:$W$67,12,0)</f>
        <v>0</v>
      </c>
      <c r="K51" s="17">
        <v>0</v>
      </c>
      <c r="L51" s="17">
        <v>0</v>
      </c>
      <c r="M51" s="18">
        <f t="shared" si="2"/>
        <v>48692060.09</v>
      </c>
      <c r="N51" s="31">
        <f>(VLOOKUP(B51,'[3]Sheet1'!$B$16:$N$74,13,0))+48692060.09</f>
        <v>130256364.21000001</v>
      </c>
      <c r="O51" s="34">
        <f t="shared" si="3"/>
        <v>0.0005658911104840473</v>
      </c>
      <c r="P51" s="36"/>
      <c r="Q51" s="19"/>
    </row>
    <row r="52" spans="1:16" ht="15">
      <c r="A52" s="12">
        <v>37</v>
      </c>
      <c r="B52" s="13" t="s">
        <v>39</v>
      </c>
      <c r="C52" s="14" t="s">
        <v>40</v>
      </c>
      <c r="D52" s="15" t="s">
        <v>14</v>
      </c>
      <c r="E52" s="16"/>
      <c r="F52" s="16"/>
      <c r="G52" s="17">
        <f>VLOOKUP(B52,'[1]Brokers'!$B$9:$H$67,7,0)</f>
        <v>22739656.2</v>
      </c>
      <c r="H52" s="17">
        <f>VLOOKUP(B52,'[1]Brokers'!$B$9:$W$67,22,0)</f>
        <v>0</v>
      </c>
      <c r="I52" s="17">
        <f>VLOOKUP(B52,'[2]Brokers'!$B$9:$R$67,17,0)</f>
        <v>0</v>
      </c>
      <c r="J52" s="17">
        <f>VLOOKUP(B52,'[1]Brokers'!$B$9:$W$67,12,0)</f>
        <v>0</v>
      </c>
      <c r="K52" s="17">
        <v>0</v>
      </c>
      <c r="L52" s="17">
        <v>0</v>
      </c>
      <c r="M52" s="18">
        <f t="shared" si="2"/>
        <v>22739656.2</v>
      </c>
      <c r="N52" s="31">
        <f>(VLOOKUP(B52,'[3]Sheet1'!$B$16:$N$74,13,0))+22739656.2</f>
        <v>130154243.60000001</v>
      </c>
      <c r="O52" s="34">
        <f t="shared" si="3"/>
        <v>0.0005654474535023197</v>
      </c>
      <c r="P52" s="36"/>
    </row>
    <row r="53" spans="1:16" ht="15">
      <c r="A53" s="12">
        <v>38</v>
      </c>
      <c r="B53" s="13" t="s">
        <v>88</v>
      </c>
      <c r="C53" s="14" t="s">
        <v>89</v>
      </c>
      <c r="D53" s="15" t="s">
        <v>14</v>
      </c>
      <c r="E53" s="16"/>
      <c r="F53" s="16"/>
      <c r="G53" s="17">
        <f>VLOOKUP(B53,'[1]Brokers'!$B$9:$H$67,7,0)</f>
        <v>0</v>
      </c>
      <c r="H53" s="17">
        <f>VLOOKUP(B53,'[1]Brokers'!$B$9:$W$67,22,0)</f>
        <v>0</v>
      </c>
      <c r="I53" s="17">
        <f>VLOOKUP(B53,'[2]Brokers'!$B$9:$R$67,17,0)</f>
        <v>0</v>
      </c>
      <c r="J53" s="17">
        <f>VLOOKUP(B53,'[1]Brokers'!$B$9:$W$67,12,0)</f>
        <v>0</v>
      </c>
      <c r="K53" s="17">
        <v>0</v>
      </c>
      <c r="L53" s="17">
        <v>0</v>
      </c>
      <c r="M53" s="18">
        <f t="shared" si="2"/>
        <v>0</v>
      </c>
      <c r="N53" s="31">
        <f>(VLOOKUP(B53,'[3]Sheet1'!$B$16:$N$74,13,0))+0</f>
        <v>85575685.23999998</v>
      </c>
      <c r="O53" s="34">
        <f t="shared" si="3"/>
        <v>0.00037177852955286994</v>
      </c>
      <c r="P53" s="36"/>
    </row>
    <row r="54" spans="1:16" ht="15">
      <c r="A54" s="12">
        <v>39</v>
      </c>
      <c r="B54" s="13" t="s">
        <v>84</v>
      </c>
      <c r="C54" s="14" t="s">
        <v>85</v>
      </c>
      <c r="D54" s="15" t="s">
        <v>14</v>
      </c>
      <c r="E54" s="16" t="s">
        <v>14</v>
      </c>
      <c r="F54" s="16"/>
      <c r="G54" s="17">
        <f>VLOOKUP(B54,'[1]Brokers'!$B$9:$H$67,7,0)</f>
        <v>8464980</v>
      </c>
      <c r="H54" s="17">
        <f>VLOOKUP(B54,'[1]Brokers'!$B$9:$W$67,22,0)</f>
        <v>0</v>
      </c>
      <c r="I54" s="17">
        <f>VLOOKUP(B54,'[2]Brokers'!$B$9:$R$67,17,0)</f>
        <v>0</v>
      </c>
      <c r="J54" s="17">
        <f>VLOOKUP(B54,'[1]Brokers'!$B$9:$W$67,12,0)</f>
        <v>0</v>
      </c>
      <c r="K54" s="17">
        <v>0</v>
      </c>
      <c r="L54" s="17">
        <v>0</v>
      </c>
      <c r="M54" s="18">
        <f t="shared" si="2"/>
        <v>8464980</v>
      </c>
      <c r="N54" s="31">
        <f>(VLOOKUP(B54,'[3]Sheet1'!$B$16:$N$74,13,0))+8464980</f>
        <v>72756724.97</v>
      </c>
      <c r="O54" s="34">
        <f t="shared" si="3"/>
        <v>0.00031608731088238705</v>
      </c>
      <c r="P54" s="36"/>
    </row>
    <row r="55" spans="1:16" ht="15">
      <c r="A55" s="12">
        <v>40</v>
      </c>
      <c r="B55" s="13" t="s">
        <v>57</v>
      </c>
      <c r="C55" s="14" t="s">
        <v>58</v>
      </c>
      <c r="D55" s="15" t="s">
        <v>14</v>
      </c>
      <c r="E55" s="16" t="s">
        <v>14</v>
      </c>
      <c r="F55" s="16"/>
      <c r="G55" s="17">
        <f>VLOOKUP(B55,'[1]Brokers'!$B$9:$H$67,7,0)</f>
        <v>976500</v>
      </c>
      <c r="H55" s="17">
        <f>VLOOKUP(B55,'[1]Brokers'!$B$9:$W$67,22,0)</f>
        <v>0</v>
      </c>
      <c r="I55" s="17">
        <f>VLOOKUP(B55,'[2]Brokers'!$B$9:$R$67,17,0)</f>
        <v>0</v>
      </c>
      <c r="J55" s="17">
        <f>VLOOKUP(B55,'[1]Brokers'!$B$9:$W$67,12,0)</f>
        <v>0</v>
      </c>
      <c r="K55" s="17">
        <v>0</v>
      </c>
      <c r="L55" s="17">
        <v>0</v>
      </c>
      <c r="M55" s="18">
        <f t="shared" si="2"/>
        <v>976500</v>
      </c>
      <c r="N55" s="31">
        <f>(VLOOKUP(B55,'[3]Sheet1'!$B$16:$N$74,13,0))+976500</f>
        <v>58143360.419999994</v>
      </c>
      <c r="O55" s="34">
        <f t="shared" si="3"/>
        <v>0.00025260040839388014</v>
      </c>
      <c r="P55" s="36"/>
    </row>
    <row r="56" spans="1:16" ht="15">
      <c r="A56" s="12">
        <v>41</v>
      </c>
      <c r="B56" s="13" t="s">
        <v>135</v>
      </c>
      <c r="C56" s="14" t="s">
        <v>134</v>
      </c>
      <c r="D56" s="15" t="s">
        <v>14</v>
      </c>
      <c r="E56" s="16"/>
      <c r="F56" s="16"/>
      <c r="G56" s="17">
        <f>VLOOKUP(B56,'[1]Brokers'!$B$9:$H$67,7,0)</f>
        <v>23826865</v>
      </c>
      <c r="H56" s="17">
        <f>VLOOKUP(B56,'[1]Brokers'!$B$9:$W$67,22,0)</f>
        <v>0</v>
      </c>
      <c r="I56" s="17">
        <f>VLOOKUP(B56,'[2]Brokers'!$B$9:$R$67,17,0)</f>
        <v>0</v>
      </c>
      <c r="J56" s="17">
        <f>VLOOKUP(B56,'[1]Brokers'!$B$9:$W$67,12,0)</f>
        <v>0</v>
      </c>
      <c r="K56" s="17"/>
      <c r="L56" s="17">
        <v>0</v>
      </c>
      <c r="M56" s="18">
        <f t="shared" si="2"/>
        <v>23826865</v>
      </c>
      <c r="N56" s="31">
        <f>(VLOOKUP(B56,'[3]Sheet1'!$B$16:$N$74,13,0))+23826865</f>
        <v>49855452.15</v>
      </c>
      <c r="O56" s="34">
        <f t="shared" si="3"/>
        <v>0.00021659407854623535</v>
      </c>
      <c r="P56" s="36"/>
    </row>
    <row r="57" spans="1:16" ht="15">
      <c r="A57" s="12">
        <v>42</v>
      </c>
      <c r="B57" s="13" t="s">
        <v>90</v>
      </c>
      <c r="C57" s="14" t="s">
        <v>91</v>
      </c>
      <c r="D57" s="15" t="s">
        <v>14</v>
      </c>
      <c r="E57" s="16"/>
      <c r="F57" s="16"/>
      <c r="G57" s="17">
        <f>VLOOKUP(B57,'[1]Brokers'!$B$9:$H$67,7,0)</f>
        <v>1946310</v>
      </c>
      <c r="H57" s="17">
        <f>VLOOKUP(B57,'[1]Brokers'!$B$9:$W$67,22,0)</f>
        <v>0</v>
      </c>
      <c r="I57" s="17">
        <f>VLOOKUP(B57,'[2]Brokers'!$B$9:$R$67,17,0)</f>
        <v>0</v>
      </c>
      <c r="J57" s="17">
        <f>VLOOKUP(B57,'[1]Brokers'!$B$9:$W$67,12,0)</f>
        <v>0</v>
      </c>
      <c r="K57" s="17">
        <v>0</v>
      </c>
      <c r="L57" s="17">
        <v>0</v>
      </c>
      <c r="M57" s="18">
        <f t="shared" si="2"/>
        <v>1946310</v>
      </c>
      <c r="N57" s="31">
        <f>(VLOOKUP(B57,'[3]Sheet1'!$B$16:$N$74,13,0))+1946310</f>
        <v>47631345.03</v>
      </c>
      <c r="O57" s="34">
        <f t="shared" si="3"/>
        <v>0.00020693157602203507</v>
      </c>
      <c r="P57" s="36"/>
    </row>
    <row r="58" spans="1:16" ht="15">
      <c r="A58" s="12">
        <v>43</v>
      </c>
      <c r="B58" s="13" t="s">
        <v>86</v>
      </c>
      <c r="C58" s="14" t="s">
        <v>87</v>
      </c>
      <c r="D58" s="15" t="s">
        <v>14</v>
      </c>
      <c r="E58" s="16"/>
      <c r="F58" s="16"/>
      <c r="G58" s="17">
        <f>VLOOKUP(B58,'[1]Brokers'!$B$9:$H$67,7,0)</f>
        <v>702833.8</v>
      </c>
      <c r="H58" s="17">
        <f>VLOOKUP(B58,'[1]Brokers'!$B$9:$W$67,22,0)</f>
        <v>0</v>
      </c>
      <c r="I58" s="17">
        <f>VLOOKUP(B58,'[2]Brokers'!$B$9:$R$67,17,0)</f>
        <v>0</v>
      </c>
      <c r="J58" s="17">
        <f>VLOOKUP(B58,'[1]Brokers'!$B$9:$W$67,12,0)</f>
        <v>0</v>
      </c>
      <c r="K58" s="17">
        <v>0</v>
      </c>
      <c r="L58" s="17">
        <v>0</v>
      </c>
      <c r="M58" s="18">
        <f t="shared" si="2"/>
        <v>702833.8</v>
      </c>
      <c r="N58" s="31">
        <f>(VLOOKUP(B58,'[3]Sheet1'!$B$16:$N$74,13,0))+702833.8</f>
        <v>18962636.3</v>
      </c>
      <c r="O58" s="34">
        <f t="shared" si="3"/>
        <v>8.238205771053054E-05</v>
      </c>
      <c r="P58" s="36"/>
    </row>
    <row r="59" spans="1:16" ht="15">
      <c r="A59" s="12">
        <v>44</v>
      </c>
      <c r="B59" s="13" t="s">
        <v>96</v>
      </c>
      <c r="C59" s="14" t="s">
        <v>97</v>
      </c>
      <c r="D59" s="15" t="s">
        <v>14</v>
      </c>
      <c r="E59" s="16"/>
      <c r="F59" s="16"/>
      <c r="G59" s="17">
        <f>VLOOKUP(B59,'[1]Brokers'!$B$9:$H$67,7,0)</f>
        <v>0</v>
      </c>
      <c r="H59" s="17">
        <f>VLOOKUP(B59,'[1]Brokers'!$B$9:$W$67,22,0)</f>
        <v>0</v>
      </c>
      <c r="I59" s="17">
        <f>VLOOKUP(B59,'[2]Brokers'!$B$9:$R$67,17,0)</f>
        <v>0</v>
      </c>
      <c r="J59" s="17">
        <f>VLOOKUP(B59,'[1]Brokers'!$B$9:$W$67,12,0)</f>
        <v>0</v>
      </c>
      <c r="K59" s="17">
        <v>0</v>
      </c>
      <c r="L59" s="17">
        <v>0</v>
      </c>
      <c r="M59" s="18">
        <f t="shared" si="2"/>
        <v>0</v>
      </c>
      <c r="N59" s="31">
        <f>(VLOOKUP(B59,'[3]Sheet1'!$B$16:$N$74,13,0))+0</f>
        <v>9603762</v>
      </c>
      <c r="O59" s="34">
        <f t="shared" si="3"/>
        <v>4.172297895742483E-05</v>
      </c>
      <c r="P59" s="36"/>
    </row>
    <row r="60" spans="1:16" ht="15">
      <c r="A60" s="12">
        <v>45</v>
      </c>
      <c r="B60" s="13" t="s">
        <v>106</v>
      </c>
      <c r="C60" s="14" t="s">
        <v>107</v>
      </c>
      <c r="D60" s="15" t="s">
        <v>14</v>
      </c>
      <c r="E60" s="15" t="s">
        <v>14</v>
      </c>
      <c r="F60" s="16"/>
      <c r="G60" s="17">
        <f>VLOOKUP(B60,'[1]Brokers'!$B$9:$H$67,7,0)</f>
        <v>0</v>
      </c>
      <c r="H60" s="17">
        <f>VLOOKUP(B60,'[1]Brokers'!$B$9:$W$67,22,0)</f>
        <v>0</v>
      </c>
      <c r="I60" s="17">
        <f>VLOOKUP(B60,'[2]Brokers'!$B$9:$R$67,17,0)</f>
        <v>0</v>
      </c>
      <c r="J60" s="17">
        <f>VLOOKUP(B60,'[1]Brokers'!$B$9:$W$67,12,0)</f>
        <v>0</v>
      </c>
      <c r="K60" s="17">
        <v>0</v>
      </c>
      <c r="L60" s="17">
        <v>0</v>
      </c>
      <c r="M60" s="18">
        <f t="shared" si="2"/>
        <v>0</v>
      </c>
      <c r="N60" s="31">
        <f>(VLOOKUP(B60,'[3]Sheet1'!$B$16:$N$74,13,0))+0</f>
        <v>3788300</v>
      </c>
      <c r="O60" s="34">
        <f t="shared" si="3"/>
        <v>1.6458046459753217E-05</v>
      </c>
      <c r="P60" s="36"/>
    </row>
    <row r="61" spans="1:16" ht="15">
      <c r="A61" s="12">
        <v>46</v>
      </c>
      <c r="B61" s="13" t="s">
        <v>112</v>
      </c>
      <c r="C61" s="14" t="s">
        <v>113</v>
      </c>
      <c r="D61" s="15" t="s">
        <v>14</v>
      </c>
      <c r="E61" s="16"/>
      <c r="F61" s="16"/>
      <c r="G61" s="17">
        <f>VLOOKUP(B61,'[1]Brokers'!$B$9:$H$67,7,0)</f>
        <v>0</v>
      </c>
      <c r="H61" s="17">
        <f>VLOOKUP(B61,'[1]Brokers'!$B$9:$W$67,22,0)</f>
        <v>0</v>
      </c>
      <c r="I61" s="17">
        <f>VLOOKUP(B61,'[2]Brokers'!$B$9:$R$67,17,0)</f>
        <v>0</v>
      </c>
      <c r="J61" s="17">
        <f>VLOOKUP(B61,'[1]Brokers'!$B$9:$W$67,12,0)</f>
        <v>0</v>
      </c>
      <c r="K61" s="17">
        <v>0</v>
      </c>
      <c r="L61" s="17">
        <v>0</v>
      </c>
      <c r="M61" s="18">
        <f t="shared" si="2"/>
        <v>0</v>
      </c>
      <c r="N61" s="31">
        <f>(VLOOKUP(B61,'[3]Sheet1'!$B$16:$N$74,13,0))+0</f>
        <v>0</v>
      </c>
      <c r="O61" s="34">
        <f t="shared" si="3"/>
        <v>0</v>
      </c>
      <c r="P61" s="36"/>
    </row>
    <row r="62" spans="1:16" ht="15">
      <c r="A62" s="12">
        <v>47</v>
      </c>
      <c r="B62" s="13" t="s">
        <v>114</v>
      </c>
      <c r="C62" s="14" t="s">
        <v>115</v>
      </c>
      <c r="D62" s="15"/>
      <c r="E62" s="16"/>
      <c r="F62" s="16"/>
      <c r="G62" s="17">
        <f>VLOOKUP(B62,'[1]Brokers'!$B$9:$H$67,7,0)</f>
        <v>0</v>
      </c>
      <c r="H62" s="17">
        <f>VLOOKUP(B62,'[1]Brokers'!$B$9:$W$67,22,0)</f>
        <v>0</v>
      </c>
      <c r="I62" s="17">
        <f>VLOOKUP(B62,'[2]Brokers'!$B$9:$R$67,17,0)</f>
        <v>0</v>
      </c>
      <c r="J62" s="17">
        <f>VLOOKUP(B62,'[1]Brokers'!$B$9:$W$67,12,0)</f>
        <v>0</v>
      </c>
      <c r="K62" s="17">
        <v>0</v>
      </c>
      <c r="L62" s="17">
        <v>0</v>
      </c>
      <c r="M62" s="18">
        <f t="shared" si="2"/>
        <v>0</v>
      </c>
      <c r="N62" s="31">
        <f>(VLOOKUP(B62,'[3]Sheet1'!$B$16:$N$74,13,0))+0</f>
        <v>0</v>
      </c>
      <c r="O62" s="34">
        <f t="shared" si="3"/>
        <v>0</v>
      </c>
      <c r="P62" s="36"/>
    </row>
    <row r="63" spans="1:16" ht="15">
      <c r="A63" s="12">
        <v>48</v>
      </c>
      <c r="B63" s="13" t="s">
        <v>100</v>
      </c>
      <c r="C63" s="14" t="s">
        <v>101</v>
      </c>
      <c r="D63" s="15"/>
      <c r="E63" s="16"/>
      <c r="F63" s="16"/>
      <c r="G63" s="17">
        <f>VLOOKUP(B63,'[1]Brokers'!$B$9:$H$67,7,0)</f>
        <v>0</v>
      </c>
      <c r="H63" s="17">
        <f>VLOOKUP(B63,'[1]Brokers'!$B$9:$W$67,22,0)</f>
        <v>0</v>
      </c>
      <c r="I63" s="17">
        <f>VLOOKUP(B63,'[2]Brokers'!$B$9:$R$67,17,0)</f>
        <v>0</v>
      </c>
      <c r="J63" s="17">
        <f>VLOOKUP(B63,'[1]Brokers'!$B$9:$W$67,12,0)</f>
        <v>0</v>
      </c>
      <c r="K63" s="17">
        <v>0</v>
      </c>
      <c r="L63" s="17">
        <v>0</v>
      </c>
      <c r="M63" s="18">
        <f t="shared" si="2"/>
        <v>0</v>
      </c>
      <c r="N63" s="31">
        <f>(VLOOKUP(B63,'[3]Sheet1'!$B$16:$N$74,13,0))+0</f>
        <v>0</v>
      </c>
      <c r="O63" s="34">
        <f t="shared" si="3"/>
        <v>0</v>
      </c>
      <c r="P63" s="36"/>
    </row>
    <row r="64" spans="1:16" ht="15">
      <c r="A64" s="12">
        <v>49</v>
      </c>
      <c r="B64" s="13" t="s">
        <v>120</v>
      </c>
      <c r="C64" s="14" t="s">
        <v>121</v>
      </c>
      <c r="D64" s="15"/>
      <c r="E64" s="16"/>
      <c r="F64" s="16"/>
      <c r="G64" s="17">
        <f>VLOOKUP(B64,'[1]Brokers'!$B$9:$H$67,7,0)</f>
        <v>0</v>
      </c>
      <c r="H64" s="17">
        <f>VLOOKUP(B64,'[1]Brokers'!$B$9:$W$67,22,0)</f>
        <v>0</v>
      </c>
      <c r="I64" s="17">
        <f>VLOOKUP(B64,'[2]Brokers'!$B$9:$R$67,17,0)</f>
        <v>0</v>
      </c>
      <c r="J64" s="17">
        <f>VLOOKUP(B64,'[1]Brokers'!$B$9:$W$67,12,0)</f>
        <v>0</v>
      </c>
      <c r="K64" s="17">
        <v>0</v>
      </c>
      <c r="L64" s="17">
        <v>0</v>
      </c>
      <c r="M64" s="18">
        <f t="shared" si="2"/>
        <v>0</v>
      </c>
      <c r="N64" s="31">
        <f>(VLOOKUP(B64,'[3]Sheet1'!$B$16:$N$74,13,0))+0</f>
        <v>0</v>
      </c>
      <c r="O64" s="34">
        <f t="shared" si="3"/>
        <v>0</v>
      </c>
      <c r="P64" s="36"/>
    </row>
    <row r="65" spans="1:16" ht="15">
      <c r="A65" s="12">
        <v>50</v>
      </c>
      <c r="B65" s="13" t="s">
        <v>116</v>
      </c>
      <c r="C65" s="14" t="s">
        <v>117</v>
      </c>
      <c r="D65" s="15"/>
      <c r="E65" s="16"/>
      <c r="F65" s="16"/>
      <c r="G65" s="17">
        <f>VLOOKUP(B65,'[1]Brokers'!$B$9:$H$67,7,0)</f>
        <v>0</v>
      </c>
      <c r="H65" s="17">
        <f>VLOOKUP(B65,'[1]Brokers'!$B$9:$W$67,22,0)</f>
        <v>0</v>
      </c>
      <c r="I65" s="17">
        <f>VLOOKUP(B65,'[2]Brokers'!$B$9:$R$67,17,0)</f>
        <v>0</v>
      </c>
      <c r="J65" s="17">
        <f>VLOOKUP(B65,'[1]Brokers'!$B$9:$W$67,12,0)</f>
        <v>0</v>
      </c>
      <c r="K65" s="17">
        <v>0</v>
      </c>
      <c r="L65" s="17">
        <v>0</v>
      </c>
      <c r="M65" s="18">
        <f t="shared" si="2"/>
        <v>0</v>
      </c>
      <c r="N65" s="31">
        <f>(VLOOKUP(B65,'[3]Sheet1'!$B$16:$N$74,13,0))+0</f>
        <v>0</v>
      </c>
      <c r="O65" s="34">
        <f t="shared" si="3"/>
        <v>0</v>
      </c>
      <c r="P65" s="36"/>
    </row>
    <row r="66" spans="1:17" ht="15">
      <c r="A66" s="12">
        <v>51</v>
      </c>
      <c r="B66" s="13" t="s">
        <v>118</v>
      </c>
      <c r="C66" s="14" t="s">
        <v>119</v>
      </c>
      <c r="D66" s="15"/>
      <c r="E66" s="16"/>
      <c r="F66" s="16"/>
      <c r="G66" s="17">
        <f>VLOOKUP(B66,'[1]Brokers'!$B$9:$H$67,7,0)</f>
        <v>0</v>
      </c>
      <c r="H66" s="17">
        <f>VLOOKUP(B66,'[1]Brokers'!$B$9:$W$67,22,0)</f>
        <v>0</v>
      </c>
      <c r="I66" s="17">
        <f>VLOOKUP(B66,'[2]Brokers'!$B$9:$R$67,17,0)</f>
        <v>0</v>
      </c>
      <c r="J66" s="17">
        <f>VLOOKUP(B66,'[1]Brokers'!$B$9:$W$67,12,0)</f>
        <v>0</v>
      </c>
      <c r="K66" s="17">
        <v>0</v>
      </c>
      <c r="L66" s="17">
        <v>0</v>
      </c>
      <c r="M66" s="18">
        <f t="shared" si="2"/>
        <v>0</v>
      </c>
      <c r="N66" s="31">
        <f>(VLOOKUP(B66,'[3]Sheet1'!$B$16:$N$74,13,0))+0</f>
        <v>0</v>
      </c>
      <c r="O66" s="34">
        <f t="shared" si="3"/>
        <v>0</v>
      </c>
      <c r="P66" s="36"/>
      <c r="Q66" s="21"/>
    </row>
    <row r="67" spans="1:16" ht="15">
      <c r="A67" s="12">
        <v>52</v>
      </c>
      <c r="B67" s="13" t="s">
        <v>110</v>
      </c>
      <c r="C67" s="14" t="s">
        <v>111</v>
      </c>
      <c r="D67" s="15"/>
      <c r="E67" s="16"/>
      <c r="F67" s="16"/>
      <c r="G67" s="17">
        <f>VLOOKUP(B67,'[1]Brokers'!$B$9:$H$67,7,0)</f>
        <v>0</v>
      </c>
      <c r="H67" s="17">
        <f>VLOOKUP(B67,'[1]Brokers'!$B$9:$W$67,22,0)</f>
        <v>0</v>
      </c>
      <c r="I67" s="17">
        <f>VLOOKUP(B67,'[2]Brokers'!$B$9:$R$67,17,0)</f>
        <v>0</v>
      </c>
      <c r="J67" s="17">
        <f>VLOOKUP(B67,'[1]Brokers'!$B$9:$W$67,12,0)</f>
        <v>0</v>
      </c>
      <c r="K67" s="17">
        <v>0</v>
      </c>
      <c r="L67" s="17">
        <v>0</v>
      </c>
      <c r="M67" s="18">
        <f t="shared" si="2"/>
        <v>0</v>
      </c>
      <c r="N67" s="31">
        <f>(VLOOKUP(B67,'[3]Sheet1'!$B$16:$N$74,13,0))+0</f>
        <v>0</v>
      </c>
      <c r="O67" s="34">
        <f t="shared" si="3"/>
        <v>0</v>
      </c>
      <c r="P67" s="36"/>
    </row>
    <row r="68" spans="1:16" ht="15">
      <c r="A68" s="12">
        <v>53</v>
      </c>
      <c r="B68" s="13" t="s">
        <v>71</v>
      </c>
      <c r="C68" s="14" t="s">
        <v>72</v>
      </c>
      <c r="D68" s="15" t="s">
        <v>14</v>
      </c>
      <c r="E68" s="16" t="s">
        <v>14</v>
      </c>
      <c r="F68" s="16"/>
      <c r="G68" s="17">
        <f>VLOOKUP(B68,'[1]Brokers'!$B$9:$H$67,7,0)</f>
        <v>0</v>
      </c>
      <c r="H68" s="17">
        <f>VLOOKUP(B68,'[1]Brokers'!$B$9:$W$67,22,0)</f>
        <v>0</v>
      </c>
      <c r="I68" s="17">
        <f>VLOOKUP(B68,'[2]Brokers'!$B$9:$R$67,17,0)</f>
        <v>0</v>
      </c>
      <c r="J68" s="17">
        <f>VLOOKUP(B68,'[1]Brokers'!$B$9:$W$67,12,0)</f>
        <v>0</v>
      </c>
      <c r="K68" s="17">
        <v>0</v>
      </c>
      <c r="L68" s="17">
        <v>0</v>
      </c>
      <c r="M68" s="18">
        <f t="shared" si="2"/>
        <v>0</v>
      </c>
      <c r="N68" s="31">
        <f>(VLOOKUP(B68,'[3]Sheet1'!$B$16:$N$74,13,0))+0</f>
        <v>0</v>
      </c>
      <c r="O68" s="34">
        <f t="shared" si="3"/>
        <v>0</v>
      </c>
      <c r="P68" s="36"/>
    </row>
    <row r="69" spans="1:16" ht="15">
      <c r="A69" s="12">
        <v>54</v>
      </c>
      <c r="B69" s="13" t="s">
        <v>92</v>
      </c>
      <c r="C69" s="14" t="s">
        <v>93</v>
      </c>
      <c r="D69" s="15" t="s">
        <v>14</v>
      </c>
      <c r="E69" s="16" t="s">
        <v>14</v>
      </c>
      <c r="F69" s="16" t="s">
        <v>14</v>
      </c>
      <c r="G69" s="17">
        <f>VLOOKUP(B69,'[1]Brokers'!$B$9:$H$67,7,0)</f>
        <v>0</v>
      </c>
      <c r="H69" s="17">
        <f>VLOOKUP(B69,'[1]Brokers'!$B$9:$W$67,22,0)</f>
        <v>0</v>
      </c>
      <c r="I69" s="17">
        <f>VLOOKUP(B69,'[2]Brokers'!$B$9:$R$67,17,0)</f>
        <v>0</v>
      </c>
      <c r="J69" s="17">
        <f>VLOOKUP(B69,'[1]Brokers'!$B$9:$W$67,12,0)</f>
        <v>0</v>
      </c>
      <c r="K69" s="17">
        <v>0</v>
      </c>
      <c r="L69" s="17">
        <v>0</v>
      </c>
      <c r="M69" s="18">
        <f t="shared" si="2"/>
        <v>0</v>
      </c>
      <c r="N69" s="31">
        <f>(VLOOKUP(B69,'[3]Sheet1'!$B$16:$N$74,13,0))+0</f>
        <v>0</v>
      </c>
      <c r="O69" s="34">
        <f t="shared" si="3"/>
        <v>0</v>
      </c>
      <c r="P69" s="36"/>
    </row>
    <row r="70" spans="1:16" ht="15">
      <c r="A70" s="12">
        <v>55</v>
      </c>
      <c r="B70" s="13" t="s">
        <v>98</v>
      </c>
      <c r="C70" s="14" t="s">
        <v>99</v>
      </c>
      <c r="D70" s="15" t="s">
        <v>14</v>
      </c>
      <c r="E70" s="16" t="s">
        <v>14</v>
      </c>
      <c r="F70" s="16" t="s">
        <v>14</v>
      </c>
      <c r="G70" s="17">
        <f>VLOOKUP(B70,'[1]Brokers'!$B$9:$H$67,7,0)</f>
        <v>0</v>
      </c>
      <c r="H70" s="17">
        <f>VLOOKUP(B70,'[1]Brokers'!$B$9:$W$67,22,0)</f>
        <v>0</v>
      </c>
      <c r="I70" s="17">
        <f>VLOOKUP(B70,'[2]Brokers'!$B$9:$R$67,17,0)</f>
        <v>0</v>
      </c>
      <c r="J70" s="17">
        <f>VLOOKUP(B70,'[1]Brokers'!$B$9:$W$67,12,0)</f>
        <v>0</v>
      </c>
      <c r="K70" s="17">
        <v>0</v>
      </c>
      <c r="L70" s="17">
        <v>0</v>
      </c>
      <c r="M70" s="18">
        <f t="shared" si="2"/>
        <v>0</v>
      </c>
      <c r="N70" s="31">
        <f>(VLOOKUP(B70,'[3]Sheet1'!$B$16:$N$74,13,0))+0</f>
        <v>0</v>
      </c>
      <c r="O70" s="34">
        <f t="shared" si="3"/>
        <v>0</v>
      </c>
      <c r="P70" s="36"/>
    </row>
    <row r="71" spans="1:16" ht="15">
      <c r="A71" s="12">
        <v>56</v>
      </c>
      <c r="B71" s="13" t="s">
        <v>102</v>
      </c>
      <c r="C71" s="14" t="s">
        <v>103</v>
      </c>
      <c r="D71" s="15" t="s">
        <v>14</v>
      </c>
      <c r="E71" s="16"/>
      <c r="F71" s="16"/>
      <c r="G71" s="17">
        <f>VLOOKUP(B71,'[1]Brokers'!$B$9:$H$67,7,0)</f>
        <v>0</v>
      </c>
      <c r="H71" s="17">
        <f>VLOOKUP(B71,'[1]Brokers'!$B$9:$W$67,22,0)</f>
        <v>0</v>
      </c>
      <c r="I71" s="17">
        <f>VLOOKUP(B71,'[2]Brokers'!$B$9:$R$67,17,0)</f>
        <v>0</v>
      </c>
      <c r="J71" s="17">
        <f>VLOOKUP(B71,'[1]Brokers'!$B$9:$W$67,12,0)</f>
        <v>0</v>
      </c>
      <c r="K71" s="17">
        <v>0</v>
      </c>
      <c r="L71" s="17">
        <v>0</v>
      </c>
      <c r="M71" s="18">
        <f t="shared" si="2"/>
        <v>0</v>
      </c>
      <c r="N71" s="31">
        <f>(VLOOKUP(B71,'[3]Sheet1'!$B$16:$N$74,13,0))+0</f>
        <v>0</v>
      </c>
      <c r="O71" s="34">
        <f t="shared" si="3"/>
        <v>0</v>
      </c>
      <c r="P71" s="36"/>
    </row>
    <row r="72" spans="1:16" ht="15">
      <c r="A72" s="12">
        <v>57</v>
      </c>
      <c r="B72" s="13" t="s">
        <v>104</v>
      </c>
      <c r="C72" s="14" t="s">
        <v>105</v>
      </c>
      <c r="D72" s="15"/>
      <c r="E72" s="16"/>
      <c r="F72" s="16"/>
      <c r="G72" s="17">
        <f>VLOOKUP(B72,'[1]Brokers'!$B$9:$H$67,7,0)</f>
        <v>0</v>
      </c>
      <c r="H72" s="17">
        <f>VLOOKUP(B72,'[1]Brokers'!$B$9:$W$67,22,0)</f>
        <v>0</v>
      </c>
      <c r="I72" s="17">
        <f>VLOOKUP(B72,'[2]Brokers'!$B$9:$R$67,17,0)</f>
        <v>0</v>
      </c>
      <c r="J72" s="17">
        <f>VLOOKUP(B72,'[1]Brokers'!$B$9:$W$67,12,0)</f>
        <v>0</v>
      </c>
      <c r="K72" s="17">
        <v>0</v>
      </c>
      <c r="L72" s="17">
        <v>0</v>
      </c>
      <c r="M72" s="18">
        <f t="shared" si="2"/>
        <v>0</v>
      </c>
      <c r="N72" s="31">
        <f>(VLOOKUP(B72,'[3]Sheet1'!$B$16:$N$74,13,0))+0</f>
        <v>0</v>
      </c>
      <c r="O72" s="34">
        <f t="shared" si="3"/>
        <v>0</v>
      </c>
      <c r="P72" s="36"/>
    </row>
    <row r="73" spans="1:17" ht="15">
      <c r="A73" s="12">
        <v>58</v>
      </c>
      <c r="B73" s="13" t="s">
        <v>124</v>
      </c>
      <c r="C73" s="14" t="s">
        <v>125</v>
      </c>
      <c r="D73" s="15"/>
      <c r="E73" s="16"/>
      <c r="F73" s="16"/>
      <c r="G73" s="17">
        <f>VLOOKUP(B73,'[1]Brokers'!$B$9:$H$67,7,0)</f>
        <v>0</v>
      </c>
      <c r="H73" s="17">
        <f>VLOOKUP(B73,'[1]Brokers'!$B$9:$W$67,22,0)</f>
        <v>0</v>
      </c>
      <c r="I73" s="17">
        <f>VLOOKUP(B73,'[2]Brokers'!$B$9:$R$67,17,0)</f>
        <v>0</v>
      </c>
      <c r="J73" s="17">
        <f>VLOOKUP(B73,'[1]Brokers'!$B$9:$W$67,12,0)</f>
        <v>0</v>
      </c>
      <c r="K73" s="17">
        <v>0</v>
      </c>
      <c r="L73" s="17">
        <v>0</v>
      </c>
      <c r="M73" s="18">
        <f t="shared" si="2"/>
        <v>0</v>
      </c>
      <c r="N73" s="31">
        <f>(VLOOKUP(B73,'[3]Sheet1'!$B$16:$N$74,13,0))+0</f>
        <v>0</v>
      </c>
      <c r="O73" s="34">
        <f t="shared" si="3"/>
        <v>0</v>
      </c>
      <c r="P73" s="36"/>
      <c r="Q73" s="21"/>
    </row>
    <row r="74" spans="1:17" ht="15">
      <c r="A74" s="12">
        <v>59</v>
      </c>
      <c r="B74" s="13" t="s">
        <v>126</v>
      </c>
      <c r="C74" s="14" t="s">
        <v>127</v>
      </c>
      <c r="D74" s="15"/>
      <c r="E74" s="16"/>
      <c r="F74" s="16"/>
      <c r="G74" s="17">
        <f>VLOOKUP(B74,'[1]Brokers'!$B$9:$H$67,7,0)</f>
        <v>0</v>
      </c>
      <c r="H74" s="17">
        <f>VLOOKUP(B74,'[1]Brokers'!$B$9:$W$67,22,0)</f>
        <v>0</v>
      </c>
      <c r="I74" s="17">
        <f>VLOOKUP(B74,'[2]Brokers'!$B$9:$R$67,17,0)</f>
        <v>0</v>
      </c>
      <c r="J74" s="17">
        <f>VLOOKUP(B74,'[1]Brokers'!$B$9:$W$67,12,0)</f>
        <v>0</v>
      </c>
      <c r="K74" s="17">
        <v>0</v>
      </c>
      <c r="L74" s="17">
        <v>0</v>
      </c>
      <c r="M74" s="18">
        <f t="shared" si="2"/>
        <v>0</v>
      </c>
      <c r="N74" s="31">
        <f>(VLOOKUP(B74,'[3]Sheet1'!$B$16:$N$74,13,0))+0</f>
        <v>0</v>
      </c>
      <c r="O74" s="34">
        <f t="shared" si="3"/>
        <v>0</v>
      </c>
      <c r="P74" s="36"/>
      <c r="Q74" s="21"/>
    </row>
    <row r="75" spans="1:17" ht="16.5" thickBot="1">
      <c r="A75" s="41" t="s">
        <v>6</v>
      </c>
      <c r="B75" s="42"/>
      <c r="C75" s="43"/>
      <c r="D75" s="22">
        <f>COUNTA(D16:D74)</f>
        <v>50</v>
      </c>
      <c r="E75" s="22">
        <f>COUNTA(E16:E74)</f>
        <v>23</v>
      </c>
      <c r="F75" s="22">
        <f>COUNTA(F16:F74)</f>
        <v>13</v>
      </c>
      <c r="G75" s="23">
        <f>SUM(G16:G74)</f>
        <v>15307009672.640001</v>
      </c>
      <c r="H75" s="23">
        <f>SUM(H16:H74)</f>
        <v>2936046980</v>
      </c>
      <c r="I75" s="23">
        <f>SUM(I16:I74)</f>
        <v>0</v>
      </c>
      <c r="J75" s="23">
        <f>SUM(J16:J74)</f>
        <v>0</v>
      </c>
      <c r="K75" s="23">
        <f aca="true" t="shared" si="4" ref="K75">SUM(K16:K74)</f>
        <v>0</v>
      </c>
      <c r="L75" s="23">
        <f>SUM(L16:L74)</f>
        <v>0</v>
      </c>
      <c r="M75" s="23">
        <f>SUM(M16:M74)</f>
        <v>18243056652.64</v>
      </c>
      <c r="N75" s="32">
        <f>SUM(N16:N74)</f>
        <v>230179201964.4599</v>
      </c>
      <c r="O75" s="33">
        <f>SUM(O16:O74)</f>
        <v>1.0000000000000002</v>
      </c>
      <c r="P75" s="24"/>
      <c r="Q75" s="21"/>
    </row>
    <row r="76" spans="12:17" ht="15">
      <c r="L76" s="25"/>
      <c r="M76" s="26"/>
      <c r="O76" s="25"/>
      <c r="P76" s="24"/>
      <c r="Q76" s="21"/>
    </row>
    <row r="77" spans="2:17" ht="27.6" customHeight="1">
      <c r="B77" s="56" t="s">
        <v>128</v>
      </c>
      <c r="C77" s="56"/>
      <c r="D77" s="56"/>
      <c r="E77" s="56"/>
      <c r="F77" s="56"/>
      <c r="H77" s="27"/>
      <c r="I77" s="27"/>
      <c r="L77" s="25"/>
      <c r="M77" s="25"/>
      <c r="P77" s="24"/>
      <c r="Q77" s="21"/>
    </row>
    <row r="78" spans="3:17" ht="27.6" customHeight="1">
      <c r="C78" s="57"/>
      <c r="D78" s="57"/>
      <c r="E78" s="57"/>
      <c r="F78" s="57"/>
      <c r="M78" s="25"/>
      <c r="N78" s="25"/>
      <c r="P78" s="24"/>
      <c r="Q78" s="21"/>
    </row>
    <row r="79" spans="16:17" ht="15">
      <c r="P79" s="24"/>
      <c r="Q79" s="21"/>
    </row>
    <row r="80" spans="16:17" ht="15">
      <c r="P80" s="24"/>
      <c r="Q80" s="21"/>
    </row>
  </sheetData>
  <mergeCells count="16">
    <mergeCell ref="B77:F77"/>
    <mergeCell ref="C78:F78"/>
    <mergeCell ref="M14:M15"/>
    <mergeCell ref="G14:I14"/>
    <mergeCell ref="J14:L14"/>
    <mergeCell ref="N14:N15"/>
    <mergeCell ref="O14:O15"/>
    <mergeCell ref="A75:C75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12" sqref="F1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USR0103</cp:lastModifiedBy>
  <cp:lastPrinted>2019-01-29T09:28:01Z</cp:lastPrinted>
  <dcterms:created xsi:type="dcterms:W3CDTF">2017-06-09T07:51:20Z</dcterms:created>
  <dcterms:modified xsi:type="dcterms:W3CDTF">2019-01-30T01:00:38Z</dcterms:modified>
  <cp:category/>
  <cp:version/>
  <cp:contentType/>
  <cp:contentStatus/>
</cp:coreProperties>
</file>