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.62\Members\Арилжааны тайлан\2018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Sheet1!$A$16:$O$77</definedName>
    <definedName name="_xlnm.Print_Area" localSheetId="0">Sheet1!$A$1:$O$81</definedName>
  </definedNames>
  <calcPr calcId="152511"/>
</workbook>
</file>

<file path=xl/calcChain.xml><?xml version="1.0" encoding="utf-8"?>
<calcChain xmlns="http://schemas.openxmlformats.org/spreadsheetml/2006/main">
  <c r="N76" i="1" l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78" i="1"/>
  <c r="L78" i="1" l="1"/>
  <c r="K78" i="1"/>
  <c r="E78" i="1"/>
  <c r="F78" i="1"/>
  <c r="D78" i="1"/>
  <c r="I17" i="1" l="1"/>
  <c r="I18" i="1"/>
  <c r="I19" i="1"/>
  <c r="I22" i="1"/>
  <c r="I21" i="1"/>
  <c r="I20" i="1"/>
  <c r="I23" i="1"/>
  <c r="I25" i="1"/>
  <c r="I26" i="1"/>
  <c r="I24" i="1"/>
  <c r="I27" i="1"/>
  <c r="I30" i="1"/>
  <c r="I29" i="1"/>
  <c r="I28" i="1"/>
  <c r="I32" i="1"/>
  <c r="I31" i="1"/>
  <c r="I33" i="1"/>
  <c r="I35" i="1"/>
  <c r="I34" i="1"/>
  <c r="I36" i="1"/>
  <c r="I38" i="1"/>
  <c r="I37" i="1"/>
  <c r="I40" i="1"/>
  <c r="I39" i="1"/>
  <c r="I43" i="1"/>
  <c r="I42" i="1"/>
  <c r="I41" i="1"/>
  <c r="I44" i="1"/>
  <c r="I45" i="1"/>
  <c r="I47" i="1"/>
  <c r="I49" i="1"/>
  <c r="I46" i="1"/>
  <c r="I50" i="1"/>
  <c r="I48" i="1"/>
  <c r="I51" i="1"/>
  <c r="I53" i="1"/>
  <c r="I52" i="1"/>
  <c r="I54" i="1"/>
  <c r="I55" i="1"/>
  <c r="I56" i="1"/>
  <c r="I58" i="1"/>
  <c r="I57" i="1"/>
  <c r="I60" i="1"/>
  <c r="I61" i="1"/>
  <c r="I62" i="1"/>
  <c r="I59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7" i="1"/>
  <c r="I76" i="1"/>
  <c r="I78" i="1" l="1"/>
  <c r="J62" i="1"/>
  <c r="J77" i="1"/>
  <c r="H62" i="1"/>
  <c r="H77" i="1"/>
  <c r="G62" i="1"/>
  <c r="G77" i="1"/>
  <c r="M62" i="1" l="1"/>
  <c r="M77" i="1"/>
  <c r="J18" i="1"/>
  <c r="J19" i="1"/>
  <c r="J21" i="1"/>
  <c r="J20" i="1"/>
  <c r="J22" i="1"/>
  <c r="J24" i="1"/>
  <c r="J25" i="1"/>
  <c r="J26" i="1"/>
  <c r="J23" i="1"/>
  <c r="J27" i="1"/>
  <c r="J28" i="1"/>
  <c r="J29" i="1"/>
  <c r="J30" i="1"/>
  <c r="J32" i="1"/>
  <c r="J33" i="1"/>
  <c r="J31" i="1"/>
  <c r="J35" i="1"/>
  <c r="J34" i="1"/>
  <c r="J36" i="1"/>
  <c r="J37" i="1"/>
  <c r="J39" i="1"/>
  <c r="J38" i="1"/>
  <c r="J41" i="1"/>
  <c r="J40" i="1"/>
  <c r="J42" i="1"/>
  <c r="J43" i="1"/>
  <c r="J44" i="1"/>
  <c r="J45" i="1"/>
  <c r="J46" i="1"/>
  <c r="J47" i="1"/>
  <c r="J49" i="1"/>
  <c r="J50" i="1"/>
  <c r="J51" i="1"/>
  <c r="J48" i="1"/>
  <c r="J52" i="1"/>
  <c r="J53" i="1"/>
  <c r="J54" i="1"/>
  <c r="J55" i="1"/>
  <c r="J56" i="1"/>
  <c r="J57" i="1"/>
  <c r="J58" i="1"/>
  <c r="J60" i="1"/>
  <c r="J59" i="1"/>
  <c r="J6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17" i="1"/>
  <c r="H18" i="1"/>
  <c r="H19" i="1"/>
  <c r="H21" i="1"/>
  <c r="H20" i="1"/>
  <c r="H22" i="1"/>
  <c r="H24" i="1"/>
  <c r="H25" i="1"/>
  <c r="H26" i="1"/>
  <c r="H23" i="1"/>
  <c r="H27" i="1"/>
  <c r="H28" i="1"/>
  <c r="H29" i="1"/>
  <c r="H30" i="1"/>
  <c r="H32" i="1"/>
  <c r="H33" i="1"/>
  <c r="H31" i="1"/>
  <c r="H35" i="1"/>
  <c r="H34" i="1"/>
  <c r="H36" i="1"/>
  <c r="H37" i="1"/>
  <c r="H39" i="1"/>
  <c r="H38" i="1"/>
  <c r="H41" i="1"/>
  <c r="H40" i="1"/>
  <c r="H42" i="1"/>
  <c r="H43" i="1"/>
  <c r="H44" i="1"/>
  <c r="H45" i="1"/>
  <c r="H46" i="1"/>
  <c r="H47" i="1"/>
  <c r="H49" i="1"/>
  <c r="H50" i="1"/>
  <c r="H51" i="1"/>
  <c r="H48" i="1"/>
  <c r="H52" i="1"/>
  <c r="H53" i="1"/>
  <c r="H54" i="1"/>
  <c r="H55" i="1"/>
  <c r="H56" i="1"/>
  <c r="H57" i="1"/>
  <c r="H58" i="1"/>
  <c r="H60" i="1"/>
  <c r="H59" i="1"/>
  <c r="H61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7" i="1"/>
  <c r="G18" i="1"/>
  <c r="G19" i="1"/>
  <c r="G21" i="1"/>
  <c r="G20" i="1"/>
  <c r="G22" i="1"/>
  <c r="G24" i="1"/>
  <c r="G25" i="1"/>
  <c r="G26" i="1"/>
  <c r="G23" i="1"/>
  <c r="G27" i="1"/>
  <c r="G28" i="1"/>
  <c r="G29" i="1"/>
  <c r="G30" i="1"/>
  <c r="G32" i="1"/>
  <c r="G33" i="1"/>
  <c r="G31" i="1"/>
  <c r="G35" i="1"/>
  <c r="G34" i="1"/>
  <c r="G36" i="1"/>
  <c r="G37" i="1"/>
  <c r="G39" i="1"/>
  <c r="G38" i="1"/>
  <c r="G41" i="1"/>
  <c r="G40" i="1"/>
  <c r="G42" i="1"/>
  <c r="G43" i="1"/>
  <c r="G44" i="1"/>
  <c r="G45" i="1"/>
  <c r="G46" i="1"/>
  <c r="G47" i="1"/>
  <c r="G49" i="1"/>
  <c r="G50" i="1"/>
  <c r="G51" i="1"/>
  <c r="G48" i="1"/>
  <c r="G52" i="1"/>
  <c r="G53" i="1"/>
  <c r="G54" i="1"/>
  <c r="G55" i="1"/>
  <c r="G56" i="1"/>
  <c r="G57" i="1"/>
  <c r="G58" i="1"/>
  <c r="G60" i="1"/>
  <c r="G59" i="1"/>
  <c r="G61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17" i="1"/>
  <c r="M59" i="1" l="1"/>
  <c r="M56" i="1"/>
  <c r="M52" i="1"/>
  <c r="M49" i="1"/>
  <c r="M44" i="1"/>
  <c r="M41" i="1"/>
  <c r="M36" i="1"/>
  <c r="M33" i="1"/>
  <c r="M28" i="1"/>
  <c r="M25" i="1"/>
  <c r="M21" i="1"/>
  <c r="J78" i="1"/>
  <c r="M17" i="1"/>
  <c r="H78" i="1"/>
  <c r="M60" i="1"/>
  <c r="M55" i="1"/>
  <c r="M48" i="1"/>
  <c r="M47" i="1"/>
  <c r="M43" i="1"/>
  <c r="M38" i="1"/>
  <c r="M34" i="1"/>
  <c r="M32" i="1"/>
  <c r="M27" i="1"/>
  <c r="M24" i="1"/>
  <c r="M19" i="1"/>
  <c r="G78" i="1"/>
  <c r="M58" i="1"/>
  <c r="M54" i="1"/>
  <c r="M51" i="1"/>
  <c r="M46" i="1"/>
  <c r="M42" i="1"/>
  <c r="M39" i="1"/>
  <c r="M35" i="1"/>
  <c r="M30" i="1"/>
  <c r="M23" i="1"/>
  <c r="M22" i="1"/>
  <c r="M18" i="1"/>
  <c r="M61" i="1"/>
  <c r="M57" i="1"/>
  <c r="M53" i="1"/>
  <c r="M50" i="1"/>
  <c r="M45" i="1"/>
  <c r="M40" i="1"/>
  <c r="M37" i="1"/>
  <c r="M31" i="1"/>
  <c r="M29" i="1"/>
  <c r="M26" i="1"/>
  <c r="M20" i="1"/>
  <c r="M68" i="1"/>
  <c r="M69" i="1"/>
  <c r="M76" i="1"/>
  <c r="M70" i="1"/>
  <c r="M73" i="1"/>
  <c r="M64" i="1"/>
  <c r="M74" i="1"/>
  <c r="M71" i="1"/>
  <c r="M72" i="1"/>
  <c r="M63" i="1"/>
  <c r="M66" i="1"/>
  <c r="M67" i="1"/>
  <c r="M65" i="1"/>
  <c r="M75" i="1"/>
  <c r="M78" i="1" l="1"/>
  <c r="O77" i="1"/>
  <c r="O62" i="1"/>
  <c r="O69" i="1"/>
  <c r="O68" i="1"/>
  <c r="O71" i="1"/>
  <c r="O61" i="1"/>
  <c r="O58" i="1"/>
  <c r="O54" i="1"/>
  <c r="O51" i="1"/>
  <c r="O37" i="1"/>
  <c r="O40" i="1"/>
  <c r="O36" i="1"/>
  <c r="O29" i="1"/>
  <c r="O27" i="1"/>
  <c r="O20" i="1"/>
  <c r="O18" i="1"/>
  <c r="O67" i="1"/>
  <c r="O60" i="1"/>
  <c r="O56" i="1"/>
  <c r="O50" i="1"/>
  <c r="O47" i="1"/>
  <c r="O42" i="1"/>
  <c r="O19" i="1"/>
  <c r="O75" i="1"/>
  <c r="O63" i="1"/>
  <c r="O59" i="1"/>
  <c r="O45" i="1"/>
  <c r="O28" i="1"/>
  <c r="O33" i="1"/>
  <c r="O24" i="1"/>
  <c r="O26" i="1"/>
  <c r="O30" i="1"/>
  <c r="O44" i="1"/>
  <c r="O57" i="1"/>
  <c r="O17" i="1"/>
  <c r="O31" i="1"/>
  <c r="O48" i="1"/>
  <c r="O73" i="1"/>
  <c r="O76" i="1"/>
  <c r="O35" i="1"/>
  <c r="O46" i="1"/>
  <c r="O72" i="1"/>
  <c r="O21" i="1"/>
  <c r="O38" i="1"/>
  <c r="O52" i="1"/>
  <c r="O64" i="1"/>
  <c r="O34" i="1"/>
  <c r="O55" i="1"/>
  <c r="O66" i="1"/>
  <c r="O25" i="1"/>
  <c r="O41" i="1"/>
  <c r="O49" i="1"/>
  <c r="O74" i="1"/>
  <c r="O23" i="1"/>
  <c r="O43" i="1"/>
  <c r="O53" i="1"/>
  <c r="O65" i="1"/>
  <c r="O32" i="1"/>
  <c r="O39" i="1"/>
  <c r="O70" i="1"/>
  <c r="O22" i="1"/>
  <c r="O78" i="1" l="1"/>
</calcChain>
</file>

<file path=xl/sharedStrings.xml><?xml version="1.0" encoding="utf-8"?>
<sst xmlns="http://schemas.openxmlformats.org/spreadsheetml/2006/main" count="239" uniqueCount="143">
  <si>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</si>
  <si>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</si>
  <si>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</si>
  <si>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</si>
  <si>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</si>
  <si>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</si>
  <si>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</si>
  <si>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</si>
  <si>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</si>
  <si>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</si>
  <si>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</si>
  <si>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</si>
  <si>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</si>
  <si>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</si>
  <si>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</si>
  <si>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</si>
  <si>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</si>
  <si>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</si>
  <si>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</si>
  <si>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</si>
  <si>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</si>
  <si>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</si>
  <si>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</si>
  <si>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</si>
  <si>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</si>
  <si>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</si>
  <si>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</si>
  <si>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</si>
  <si>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</si>
  <si>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</si>
  <si>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</si>
  <si>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</si>
  <si>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</si>
  <si>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</si>
  <si>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</si>
  <si>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</si>
  <si>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</si>
  <si>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</si>
  <si>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</si>
  <si>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</si>
  <si>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</si>
  <si>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</si>
  <si>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</si>
  <si>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</si>
  <si>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</si>
  <si>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</si>
  <si>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</si>
  <si>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</si>
  <si>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</si>
  <si>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</si>
  <si>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</si>
  <si>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</si>
  <si>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</si>
  <si>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</si>
  <si>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</si>
  <si>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</si>
  <si>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</si>
  <si>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</si>
  <si>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</si>
  <si>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</si>
  <si>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</si>
  <si>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</si>
  <si>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</si>
  <si>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</si>
  <si>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</si>
  <si>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</si>
  <si>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</si>
  <si>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</si>
  <si>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</si>
  <si>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</si>
  <si>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</si>
  <si>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</si>
  <si>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</si>
  <si>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</si>
  <si>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</si>
  <si>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</si>
  <si>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</si>
  <si>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</si>
  <si>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</si>
  <si>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</si>
  <si>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</si>
  <si>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</si>
  <si>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</si>
  <si>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</si>
  <si>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</si>
  <si>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</si>
  <si>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</si>
  <si>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</si>
  <si>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</si>
  <si>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</si>
  <si>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</si>
  <si>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</si>
  <si>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</si>
  <si>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</si>
  <si>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</si>
  <si>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</si>
  <si>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</si>
  <si>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</si>
  <si>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</si>
  <si>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</si>
  <si>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</si>
  <si>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</si>
  <si>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</si>
  <si>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</si>
  <si>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</si>
  <si>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</si>
  <si>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</si>
  <si>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</si>
  <si>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</si>
  <si>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</si>
  <si>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</si>
  <si>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</si>
  <si>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</si>
  <si>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</si>
  <si>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</si>
  <si>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</si>
  <si>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</si>
  <si>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</si>
  <si>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</si>
  <si>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</si>
  <si>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</si>
  <si>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</si>
  <si>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</si>
  <si>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</si>
  <si>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</si>
  <si>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</si>
  <si>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</si>
  <si>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</si>
  <si>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</si>
  <si>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</si>
  <si>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</si>
  <si>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</si>
  <si>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</si>
  <si>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</si>
  <si>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</si>
  <si>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</si>
  <si>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</si>
  <si>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11-р сарын арилжааны дүн</t>
  </si>
  <si>
    <t xml:space="preserve">2018 оны 11 дүгээр сарын 30-ны байдлаар </t>
  </si>
  <si>
    <t>CTRL</t>
  </si>
  <si>
    <t>INVC</t>
  </si>
  <si>
    <t>ЦЕНТРАЛ СЕКЬЮРИТИЙЗ ҮЦК</t>
  </si>
  <si>
    <t>ИНВЕСКОР КАПИТАЛ ҮЦК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</si>
</sst>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/>
    </xf>
    <xf numFmtId="43" fontId="8" fillId="4" borderId="10" xfId="1" applyFont="1" applyFill="1" applyBorder="1" applyAlignment="1">
      <alignment horizontal="center" vertical="center"/>
    </xf>
    <xf numFmtId="9" fontId="8" fillId="4" borderId="10" xfId="2" applyFont="1" applyFill="1" applyBorder="1" applyAlignment="1">
      <alignment horizontal="center" vertical="center"/>
    </xf>
    <xf numFmtId="165" fontId="2" fillId="4" borderId="14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62964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R0103.MSE/Downloads/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>
            <v>0</v>
          </cell>
          <cell r="N9"/>
          <cell r="O9"/>
          <cell r="P9"/>
          <cell r="Q9"/>
          <cell r="R9"/>
          <cell r="S9"/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I10"/>
          <cell r="J10"/>
          <cell r="K10"/>
          <cell r="L10"/>
          <cell r="M10">
            <v>0</v>
          </cell>
          <cell r="N10"/>
          <cell r="O10"/>
          <cell r="P10"/>
          <cell r="Q10"/>
          <cell r="R10"/>
          <cell r="S10"/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/>
          <cell r="J11"/>
          <cell r="K11"/>
          <cell r="L11"/>
          <cell r="M11">
            <v>0</v>
          </cell>
          <cell r="N11"/>
          <cell r="O11"/>
          <cell r="P11"/>
          <cell r="Q11"/>
          <cell r="R11"/>
          <cell r="S11"/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1196196722.8599999</v>
          </cell>
          <cell r="F12">
            <v>21655401</v>
          </cell>
          <cell r="G12">
            <v>1103473321.3399999</v>
          </cell>
          <cell r="H12">
            <v>2299670044.1999998</v>
          </cell>
          <cell r="I12"/>
          <cell r="J12"/>
          <cell r="K12"/>
          <cell r="L12"/>
          <cell r="M12">
            <v>0</v>
          </cell>
          <cell r="N12"/>
          <cell r="O12"/>
          <cell r="P12"/>
          <cell r="Q12"/>
          <cell r="R12"/>
          <cell r="S12"/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>
            <v>0</v>
          </cell>
          <cell r="N13"/>
          <cell r="O13"/>
          <cell r="P13"/>
          <cell r="Q13"/>
          <cell r="R13"/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I14"/>
          <cell r="J14"/>
          <cell r="K14"/>
          <cell r="L14"/>
          <cell r="M14">
            <v>0</v>
          </cell>
          <cell r="N14"/>
          <cell r="O14"/>
          <cell r="P14"/>
          <cell r="Q14"/>
          <cell r="R14"/>
          <cell r="S14"/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>
            <v>0</v>
          </cell>
          <cell r="N15"/>
          <cell r="O15"/>
          <cell r="P15"/>
          <cell r="Q15"/>
          <cell r="R15"/>
          <cell r="S15"/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155051800.71000001</v>
          </cell>
          <cell r="F16">
            <v>1946554</v>
          </cell>
          <cell r="G16">
            <v>437295932.44999999</v>
          </cell>
          <cell r="H16">
            <v>592347733.15999997</v>
          </cell>
          <cell r="I16"/>
          <cell r="J16"/>
          <cell r="K16"/>
          <cell r="L16"/>
          <cell r="M16">
            <v>0</v>
          </cell>
          <cell r="N16"/>
          <cell r="O16"/>
          <cell r="P16"/>
          <cell r="Q16"/>
          <cell r="R16"/>
          <cell r="S16"/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>
            <v>0</v>
          </cell>
          <cell r="N17"/>
          <cell r="O17"/>
          <cell r="P17"/>
          <cell r="Q17"/>
          <cell r="R17"/>
          <cell r="S17"/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I18"/>
          <cell r="J18"/>
          <cell r="K18"/>
          <cell r="L18"/>
          <cell r="M18">
            <v>0</v>
          </cell>
          <cell r="N18"/>
          <cell r="O18"/>
          <cell r="P18"/>
          <cell r="Q18"/>
          <cell r="R18"/>
          <cell r="S18"/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20062666.890000001</v>
          </cell>
          <cell r="H19">
            <v>25740353.890000001</v>
          </cell>
          <cell r="I19"/>
          <cell r="J19"/>
          <cell r="K19"/>
          <cell r="L19"/>
          <cell r="M19">
            <v>0</v>
          </cell>
          <cell r="N19"/>
          <cell r="O19"/>
          <cell r="P19"/>
          <cell r="Q19"/>
          <cell r="R19"/>
          <cell r="S19"/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I20"/>
          <cell r="J20"/>
          <cell r="K20"/>
          <cell r="L20"/>
          <cell r="M20">
            <v>0</v>
          </cell>
          <cell r="N20"/>
          <cell r="O20"/>
          <cell r="P20"/>
          <cell r="Q20"/>
          <cell r="R20"/>
          <cell r="S20"/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I21"/>
          <cell r="J21"/>
          <cell r="K21"/>
          <cell r="L21"/>
          <cell r="M21">
            <v>0</v>
          </cell>
          <cell r="N21"/>
          <cell r="O21"/>
          <cell r="P21"/>
          <cell r="Q21"/>
          <cell r="R21"/>
          <cell r="S21"/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352285957.57999998</v>
          </cell>
          <cell r="I22"/>
          <cell r="J22"/>
          <cell r="K22"/>
          <cell r="L22"/>
          <cell r="M22">
            <v>0</v>
          </cell>
          <cell r="N22"/>
          <cell r="O22"/>
          <cell r="P22"/>
          <cell r="Q22"/>
          <cell r="R22"/>
          <cell r="S22"/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I23"/>
          <cell r="J23"/>
          <cell r="K23"/>
          <cell r="L23"/>
          <cell r="M23">
            <v>0</v>
          </cell>
          <cell r="N23"/>
          <cell r="O23"/>
          <cell r="P23"/>
          <cell r="Q23"/>
          <cell r="R23"/>
          <cell r="S23"/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  <cell r="X23">
            <v>1669410040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>
            <v>0</v>
          </cell>
          <cell r="N24"/>
          <cell r="O24"/>
          <cell r="P24"/>
          <cell r="Q24"/>
          <cell r="R24"/>
          <cell r="S24"/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I25"/>
          <cell r="J25"/>
          <cell r="K25"/>
          <cell r="L25"/>
          <cell r="M25">
            <v>0</v>
          </cell>
          <cell r="N25"/>
          <cell r="O25"/>
          <cell r="P25"/>
          <cell r="Q25"/>
          <cell r="R25"/>
          <cell r="S25"/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/>
          <cell r="J26"/>
          <cell r="K26"/>
          <cell r="L26"/>
          <cell r="M26">
            <v>0</v>
          </cell>
          <cell r="N26"/>
          <cell r="O26"/>
          <cell r="P26"/>
          <cell r="Q26"/>
          <cell r="R26"/>
          <cell r="S26"/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26555636.899999999</v>
          </cell>
          <cell r="H27">
            <v>26625636.899999999</v>
          </cell>
          <cell r="I27"/>
          <cell r="J27"/>
          <cell r="K27"/>
          <cell r="L27"/>
          <cell r="M27">
            <v>0</v>
          </cell>
          <cell r="N27"/>
          <cell r="O27"/>
          <cell r="P27"/>
          <cell r="Q27"/>
          <cell r="R27"/>
          <cell r="S27"/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>
            <v>0</v>
          </cell>
          <cell r="N28"/>
          <cell r="O28"/>
          <cell r="P28"/>
          <cell r="Q28"/>
          <cell r="R28"/>
          <cell r="S28"/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I29"/>
          <cell r="J29"/>
          <cell r="K29"/>
          <cell r="L29"/>
          <cell r="M29">
            <v>0</v>
          </cell>
          <cell r="N29"/>
          <cell r="O29"/>
          <cell r="P29"/>
          <cell r="Q29"/>
          <cell r="R29"/>
          <cell r="S29"/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I30"/>
          <cell r="J30"/>
          <cell r="K30"/>
          <cell r="L30"/>
          <cell r="M30">
            <v>0</v>
          </cell>
          <cell r="N30"/>
          <cell r="O30"/>
          <cell r="P30"/>
          <cell r="Q30"/>
          <cell r="R30"/>
          <cell r="S30"/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>
            <v>0</v>
          </cell>
          <cell r="N31"/>
          <cell r="O31"/>
          <cell r="P31"/>
          <cell r="Q31"/>
          <cell r="R31"/>
          <cell r="S31"/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>
            <v>0</v>
          </cell>
          <cell r="N32"/>
          <cell r="O32"/>
          <cell r="P32"/>
          <cell r="Q32"/>
          <cell r="R32"/>
          <cell r="S32"/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>
            <v>0</v>
          </cell>
          <cell r="N33"/>
          <cell r="O33"/>
          <cell r="P33"/>
          <cell r="Q33"/>
          <cell r="R33"/>
          <cell r="S33"/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I34"/>
          <cell r="J34"/>
          <cell r="K34"/>
          <cell r="L34"/>
          <cell r="M34">
            <v>0</v>
          </cell>
          <cell r="N34"/>
          <cell r="O34"/>
          <cell r="P34"/>
          <cell r="Q34"/>
          <cell r="R34"/>
          <cell r="S34"/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89922278.530000001</v>
          </cell>
          <cell r="F35">
            <v>103717</v>
          </cell>
          <cell r="G35">
            <v>44581004.049999997</v>
          </cell>
          <cell r="H35">
            <v>134503282.57999998</v>
          </cell>
          <cell r="I35"/>
          <cell r="J35"/>
          <cell r="K35"/>
          <cell r="L35"/>
          <cell r="M35">
            <v>0</v>
          </cell>
          <cell r="N35"/>
          <cell r="O35"/>
          <cell r="P35"/>
          <cell r="Q35"/>
          <cell r="R35"/>
          <cell r="S35"/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  <cell r="X35">
            <v>34631600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/>
          <cell r="J36"/>
          <cell r="K36"/>
          <cell r="L36"/>
          <cell r="M36">
            <v>0</v>
          </cell>
          <cell r="N36"/>
          <cell r="O36"/>
          <cell r="P36"/>
          <cell r="Q36"/>
          <cell r="R36"/>
          <cell r="S36"/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I37"/>
          <cell r="J37"/>
          <cell r="K37"/>
          <cell r="L37"/>
          <cell r="M37">
            <v>0</v>
          </cell>
          <cell r="N37"/>
          <cell r="O37"/>
          <cell r="P37"/>
          <cell r="Q37"/>
          <cell r="R37"/>
          <cell r="S37"/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203349370.59999999</v>
          </cell>
          <cell r="H38">
            <v>744630387.98000002</v>
          </cell>
          <cell r="I38"/>
          <cell r="J38"/>
          <cell r="K38"/>
          <cell r="L38"/>
          <cell r="M38">
            <v>0</v>
          </cell>
          <cell r="N38"/>
          <cell r="O38"/>
          <cell r="P38"/>
          <cell r="Q38"/>
          <cell r="R38"/>
          <cell r="S38"/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  <cell r="X38">
            <v>57155400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I39"/>
          <cell r="J39"/>
          <cell r="K39"/>
          <cell r="L39"/>
          <cell r="M39">
            <v>0</v>
          </cell>
          <cell r="N39"/>
          <cell r="O39"/>
          <cell r="P39"/>
          <cell r="Q39"/>
          <cell r="R39"/>
          <cell r="S39"/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>
            <v>0</v>
          </cell>
          <cell r="N40"/>
          <cell r="O40"/>
          <cell r="P40"/>
          <cell r="Q40"/>
          <cell r="R40"/>
          <cell r="S40"/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I41"/>
          <cell r="J41"/>
          <cell r="K41"/>
          <cell r="L41"/>
          <cell r="M41">
            <v>0</v>
          </cell>
          <cell r="N41"/>
          <cell r="O41"/>
          <cell r="P41"/>
          <cell r="Q41"/>
          <cell r="R41"/>
          <cell r="S41"/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/>
          <cell r="J42"/>
          <cell r="K42"/>
          <cell r="L42"/>
          <cell r="M42">
            <v>0</v>
          </cell>
          <cell r="N42"/>
          <cell r="O42"/>
          <cell r="P42"/>
          <cell r="Q42"/>
          <cell r="R42"/>
          <cell r="S42"/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>
            <v>0</v>
          </cell>
          <cell r="N43"/>
          <cell r="O43"/>
          <cell r="P43"/>
          <cell r="Q43"/>
          <cell r="R43"/>
          <cell r="S43"/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I44"/>
          <cell r="J44"/>
          <cell r="K44"/>
          <cell r="L44"/>
          <cell r="M44">
            <v>0</v>
          </cell>
          <cell r="N44"/>
          <cell r="O44"/>
          <cell r="P44"/>
          <cell r="Q44"/>
          <cell r="R44"/>
          <cell r="S44"/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I45"/>
          <cell r="J45"/>
          <cell r="K45"/>
          <cell r="L45"/>
          <cell r="M45">
            <v>0</v>
          </cell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I46"/>
          <cell r="J46"/>
          <cell r="K46"/>
          <cell r="L46"/>
          <cell r="M46">
            <v>0</v>
          </cell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>
            <v>0</v>
          </cell>
          <cell r="N47"/>
          <cell r="O47"/>
          <cell r="P47"/>
          <cell r="Q47"/>
          <cell r="R47"/>
          <cell r="S47"/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412157528.47000003</v>
          </cell>
          <cell r="F48">
            <v>349014</v>
          </cell>
          <cell r="G48">
            <v>239165152.18000001</v>
          </cell>
          <cell r="H48">
            <v>651322680.6500001</v>
          </cell>
          <cell r="I48"/>
          <cell r="J48"/>
          <cell r="K48"/>
          <cell r="L48"/>
          <cell r="M48">
            <v>0</v>
          </cell>
          <cell r="N48"/>
          <cell r="O48"/>
          <cell r="P48"/>
          <cell r="Q48"/>
          <cell r="R48"/>
          <cell r="S48"/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/>
          <cell r="J49"/>
          <cell r="K49"/>
          <cell r="L49"/>
          <cell r="M49">
            <v>0</v>
          </cell>
          <cell r="N49"/>
          <cell r="O49"/>
          <cell r="P49"/>
          <cell r="Q49"/>
          <cell r="R49"/>
          <cell r="S49"/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I50"/>
          <cell r="J50"/>
          <cell r="K50"/>
          <cell r="L50"/>
          <cell r="M50">
            <v>0</v>
          </cell>
          <cell r="N50"/>
          <cell r="O50"/>
          <cell r="P50"/>
          <cell r="Q50"/>
          <cell r="R50"/>
          <cell r="S50"/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15750193.800000001</v>
          </cell>
          <cell r="F51">
            <v>59414</v>
          </cell>
          <cell r="G51">
            <v>34567273.5</v>
          </cell>
          <cell r="H51">
            <v>50317467.299999997</v>
          </cell>
          <cell r="I51"/>
          <cell r="J51"/>
          <cell r="K51"/>
          <cell r="L51"/>
          <cell r="M51">
            <v>0</v>
          </cell>
          <cell r="N51"/>
          <cell r="O51"/>
          <cell r="P51"/>
          <cell r="Q51"/>
          <cell r="R51"/>
          <cell r="S51"/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/>
          <cell r="K52"/>
          <cell r="L52"/>
          <cell r="M52">
            <v>0</v>
          </cell>
          <cell r="N52"/>
          <cell r="O52"/>
          <cell r="P52"/>
          <cell r="Q52"/>
          <cell r="R52"/>
          <cell r="S52"/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I53"/>
          <cell r="J53"/>
          <cell r="K53"/>
          <cell r="L53"/>
          <cell r="M53">
            <v>0</v>
          </cell>
          <cell r="N53"/>
          <cell r="O53"/>
          <cell r="P53"/>
          <cell r="Q53"/>
          <cell r="R53"/>
          <cell r="S53"/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I54"/>
          <cell r="J54"/>
          <cell r="K54"/>
          <cell r="L54"/>
          <cell r="M54">
            <v>0</v>
          </cell>
          <cell r="N54"/>
          <cell r="O54"/>
          <cell r="P54"/>
          <cell r="Q54"/>
          <cell r="R54"/>
          <cell r="S54"/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/>
          <cell r="J55"/>
          <cell r="K55"/>
          <cell r="L55"/>
          <cell r="M55">
            <v>0</v>
          </cell>
          <cell r="N55"/>
          <cell r="O55"/>
          <cell r="P55"/>
          <cell r="Q55"/>
          <cell r="R55"/>
          <cell r="S55"/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I56"/>
          <cell r="J56"/>
          <cell r="K56"/>
          <cell r="L56"/>
          <cell r="M56">
            <v>0</v>
          </cell>
          <cell r="N56"/>
          <cell r="O56"/>
          <cell r="P56"/>
          <cell r="Q56"/>
          <cell r="R56"/>
          <cell r="S56"/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I57"/>
          <cell r="J57"/>
          <cell r="K57"/>
          <cell r="L57"/>
          <cell r="M57">
            <v>0</v>
          </cell>
          <cell r="N57"/>
          <cell r="O57"/>
          <cell r="P57"/>
          <cell r="Q57"/>
          <cell r="R57"/>
          <cell r="S57"/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/>
          <cell r="J58"/>
          <cell r="K58"/>
          <cell r="L58"/>
          <cell r="M58">
            <v>0</v>
          </cell>
          <cell r="N58"/>
          <cell r="O58"/>
          <cell r="P58"/>
          <cell r="Q58"/>
          <cell r="R58"/>
          <cell r="S58"/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I59"/>
          <cell r="J59"/>
          <cell r="K59"/>
          <cell r="L59"/>
          <cell r="M59">
            <v>0</v>
          </cell>
          <cell r="N59"/>
          <cell r="O59"/>
          <cell r="P59"/>
          <cell r="Q59"/>
          <cell r="R59"/>
          <cell r="S59"/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241435301.56999999</v>
          </cell>
          <cell r="H60">
            <v>369448376.35000002</v>
          </cell>
          <cell r="I60"/>
          <cell r="J60"/>
          <cell r="K60"/>
          <cell r="L60"/>
          <cell r="M60">
            <v>0</v>
          </cell>
          <cell r="N60"/>
          <cell r="O60"/>
          <cell r="P60"/>
          <cell r="Q60"/>
          <cell r="R60"/>
          <cell r="S60"/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I61"/>
          <cell r="J61"/>
          <cell r="K61"/>
          <cell r="L61"/>
          <cell r="M61">
            <v>0</v>
          </cell>
          <cell r="N61"/>
          <cell r="O61"/>
          <cell r="P61"/>
          <cell r="Q61"/>
          <cell r="R61"/>
          <cell r="S61"/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9109035.6699999999</v>
          </cell>
          <cell r="I62"/>
          <cell r="J62"/>
          <cell r="K62"/>
          <cell r="L62"/>
          <cell r="M62">
            <v>0</v>
          </cell>
          <cell r="N62"/>
          <cell r="O62"/>
          <cell r="P62"/>
          <cell r="Q62"/>
          <cell r="R62"/>
          <cell r="S62"/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332823237.97000003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N63"/>
          <cell r="O63"/>
          <cell r="P63"/>
          <cell r="Q63"/>
          <cell r="R63"/>
          <cell r="S63"/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I64"/>
          <cell r="J64"/>
          <cell r="K64"/>
          <cell r="L64"/>
          <cell r="M64">
            <v>0</v>
          </cell>
          <cell r="N64"/>
          <cell r="O64"/>
          <cell r="P64"/>
          <cell r="Q64"/>
          <cell r="R64"/>
          <cell r="S64"/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96388696.400000006</v>
          </cell>
          <cell r="H65">
            <v>140697983.40000001</v>
          </cell>
          <cell r="I65"/>
          <cell r="J65"/>
          <cell r="K65"/>
          <cell r="L65"/>
          <cell r="M65">
            <v>0</v>
          </cell>
          <cell r="N65"/>
          <cell r="O65"/>
          <cell r="P65"/>
          <cell r="Q65"/>
          <cell r="R65"/>
          <cell r="S65"/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14556060.699999999</v>
          </cell>
          <cell r="I66"/>
          <cell r="J66"/>
          <cell r="K66"/>
          <cell r="L66"/>
          <cell r="M66">
            <v>0</v>
          </cell>
          <cell r="N66"/>
          <cell r="O66"/>
          <cell r="P66"/>
          <cell r="Q66"/>
          <cell r="R66"/>
          <cell r="S66"/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/>
          <cell r="J67"/>
          <cell r="K67"/>
          <cell r="L67"/>
          <cell r="M67">
            <v>0</v>
          </cell>
          <cell r="N67"/>
          <cell r="O67"/>
          <cell r="P67"/>
          <cell r="Q67"/>
          <cell r="R67"/>
          <cell r="S67"/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I68"/>
          <cell r="J68"/>
          <cell r="K68"/>
          <cell r="L68"/>
          <cell r="M68">
            <v>0</v>
          </cell>
          <cell r="N68"/>
          <cell r="O68"/>
          <cell r="P68"/>
          <cell r="Q68"/>
          <cell r="R68"/>
          <cell r="S68"/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74090120.069999993</v>
          </cell>
          <cell r="I69"/>
          <cell r="J69"/>
          <cell r="K69"/>
          <cell r="L69"/>
          <cell r="M69">
            <v>0</v>
          </cell>
          <cell r="N69"/>
          <cell r="O69"/>
          <cell r="P69"/>
          <cell r="Q69"/>
          <cell r="R69"/>
          <cell r="S69"/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1877749848.5999999</v>
          </cell>
          <cell r="H16">
            <v>2785411780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4663161628.6000004</v>
          </cell>
          <cell r="N16">
            <v>52667019846.639992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2428060602.9500003</v>
          </cell>
          <cell r="H17">
            <v>515000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2428575602.9500003</v>
          </cell>
          <cell r="N17">
            <v>36729213540.619995</v>
          </cell>
        </row>
        <row r="18">
          <cell r="B18" t="str">
            <v>NOVL</v>
          </cell>
          <cell r="C18" t="str">
            <v>"НОВЕЛ ИНВЕСТМЕНТ ҮЦК" ХХК</v>
          </cell>
          <cell r="D18" t="str">
            <v>●</v>
          </cell>
          <cell r="F18" t="str">
            <v>●</v>
          </cell>
          <cell r="G18">
            <v>603843569.49000001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603843569.49000001</v>
          </cell>
          <cell r="N18">
            <v>27560745062.540001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816791054.88999999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816791054.88999999</v>
          </cell>
          <cell r="N19">
            <v>22125562760.5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2132309780.3999999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2132309780.3999999</v>
          </cell>
          <cell r="N20">
            <v>22359561740.200005</v>
          </cell>
        </row>
        <row r="21">
          <cell r="B21" t="str">
            <v>GAUL</v>
          </cell>
          <cell r="C21" t="str">
            <v>"ГАҮЛИ ҮЦК" ХХК</v>
          </cell>
          <cell r="D21" t="str">
            <v>●</v>
          </cell>
          <cell r="E21" t="str">
            <v>●</v>
          </cell>
          <cell r="G21">
            <v>240380516.92000002</v>
          </cell>
          <cell r="H21">
            <v>82023000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322403516.92000002</v>
          </cell>
          <cell r="N21">
            <v>18571759190.919998</v>
          </cell>
        </row>
        <row r="22">
          <cell r="B22" t="str">
            <v>MNET</v>
          </cell>
          <cell r="C22" t="str">
            <v>"АРД СЕКЬЮРИТИЗ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2028264638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2028264638</v>
          </cell>
          <cell r="N22">
            <v>8509408842.3900013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3004621691.5700002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3004621691.5700002</v>
          </cell>
          <cell r="N23">
            <v>8331626796.3600006</v>
          </cell>
        </row>
        <row r="24">
          <cell r="B24" t="str">
            <v>DELG</v>
          </cell>
          <cell r="C24" t="str">
            <v>"ДЭЛГЭРХАНГАЙ СЕКЮРИТИЗ ҮЦК" ХХК</v>
          </cell>
          <cell r="D24" t="str">
            <v>●</v>
          </cell>
          <cell r="G24">
            <v>24272529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24272529</v>
          </cell>
          <cell r="N24">
            <v>7857648200.7400007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G25">
            <v>745903063.65999997</v>
          </cell>
          <cell r="H25">
            <v>68097200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814000263.65999997</v>
          </cell>
          <cell r="N25">
            <v>7025315498.7999992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128587551.36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128587551.36</v>
          </cell>
          <cell r="N26">
            <v>4224182977.9400005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G27">
            <v>129409160.75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129409160.75</v>
          </cell>
          <cell r="N27">
            <v>1529477991.8</v>
          </cell>
        </row>
        <row r="28">
          <cell r="B28" t="str">
            <v>MSEC</v>
          </cell>
          <cell r="C28" t="str">
            <v>"МОНСЕК ҮЦК" ХХК</v>
          </cell>
          <cell r="D28" t="str">
            <v>●</v>
          </cell>
          <cell r="E28" t="str">
            <v>●</v>
          </cell>
          <cell r="G28">
            <v>103418919.02000001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103418919.02000001</v>
          </cell>
          <cell r="N28">
            <v>1498884448.8399999</v>
          </cell>
        </row>
        <row r="29">
          <cell r="B29" t="str">
            <v>BLMB</v>
          </cell>
          <cell r="C29" t="str">
            <v xml:space="preserve">"БЛҮМСБЮРИ СЕКЮРИТИЕС ҮЦК" ХХК </v>
          </cell>
          <cell r="D29" t="str">
            <v>●</v>
          </cell>
          <cell r="E29" t="str">
            <v>●</v>
          </cell>
          <cell r="G29">
            <v>47393424.189999998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47393424.189999998</v>
          </cell>
          <cell r="N29">
            <v>1382049881.6599998</v>
          </cell>
        </row>
        <row r="30">
          <cell r="B30" t="str">
            <v>BATS</v>
          </cell>
          <cell r="C30" t="str">
            <v>"БАТС ҮЦК" ХХК</v>
          </cell>
          <cell r="D30" t="str">
            <v>●</v>
          </cell>
          <cell r="G30">
            <v>70334756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70334756</v>
          </cell>
          <cell r="N30">
            <v>944214658.00999999</v>
          </cell>
        </row>
        <row r="31">
          <cell r="B31" t="str">
            <v>GNDX</v>
          </cell>
          <cell r="C31" t="str">
            <v>"ГЕНДЕКС ҮЦК" ХХК</v>
          </cell>
          <cell r="D31" t="str">
            <v>●</v>
          </cell>
          <cell r="G31">
            <v>84913654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84913654</v>
          </cell>
          <cell r="N31">
            <v>846297016.33999991</v>
          </cell>
        </row>
        <row r="32">
          <cell r="B32" t="str">
            <v>SANR</v>
          </cell>
          <cell r="C32" t="str">
            <v>"САНАР ҮЦК" ХХК</v>
          </cell>
          <cell r="D32" t="str">
            <v>●</v>
          </cell>
          <cell r="G32">
            <v>14083540.5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14083540.5</v>
          </cell>
          <cell r="N32">
            <v>811666881.93000007</v>
          </cell>
        </row>
        <row r="33">
          <cell r="B33" t="str">
            <v>ECM</v>
          </cell>
          <cell r="C33" t="str">
            <v>"ЕВРАЗИА КАПИТАЛ ХОЛДИНГ ҮЦК" 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2677376.5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2677376.5</v>
          </cell>
          <cell r="N33">
            <v>657142127.47000003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80365625.189999998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80365625.189999998</v>
          </cell>
          <cell r="N34">
            <v>646266547.6500001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63088494.069999993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63088494.069999993</v>
          </cell>
          <cell r="N35">
            <v>641180881.04999995</v>
          </cell>
        </row>
        <row r="36">
          <cell r="B36" t="str">
            <v>GDSC</v>
          </cell>
          <cell r="C36" t="str">
            <v>"ГҮҮДСЕК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173506991.22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173506991.22</v>
          </cell>
          <cell r="N36">
            <v>583294258.96000004</v>
          </cell>
        </row>
        <row r="37">
          <cell r="B37" t="str">
            <v>HUN</v>
          </cell>
          <cell r="C37" t="str">
            <v>"ХҮННҮ ЭМПАЙР ҮЦК" ХХК</v>
          </cell>
          <cell r="D37" t="str">
            <v>●</v>
          </cell>
          <cell r="G37">
            <v>118695538.7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118695538.7</v>
          </cell>
          <cell r="N37">
            <v>494674670.15999997</v>
          </cell>
        </row>
        <row r="38">
          <cell r="B38" t="str">
            <v>LFTI</v>
          </cell>
          <cell r="C38" t="str">
            <v>"ЛАЙФТАЙМ ИНВЕСТМЕНТ ҮЦК" ХХК</v>
          </cell>
          <cell r="D38" t="str">
            <v>●</v>
          </cell>
          <cell r="E38" t="str">
            <v>●</v>
          </cell>
          <cell r="G38">
            <v>6998776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6998776</v>
          </cell>
          <cell r="N38">
            <v>482607845.31000006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G39">
            <v>7173843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7173843</v>
          </cell>
          <cell r="N39">
            <v>388514192.83999997</v>
          </cell>
        </row>
        <row r="40">
          <cell r="B40" t="str">
            <v>TABO</v>
          </cell>
          <cell r="C40" t="str">
            <v>"ТАВАН БОГД ҮЦК" ХХК</v>
          </cell>
          <cell r="D40" t="str">
            <v>●</v>
          </cell>
          <cell r="G40">
            <v>20927085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20927085</v>
          </cell>
          <cell r="N40">
            <v>387445390.91999996</v>
          </cell>
        </row>
        <row r="41">
          <cell r="B41" t="str">
            <v>TNGR</v>
          </cell>
          <cell r="C41" t="str">
            <v>"ТЭНГЭР КАПИТАЛ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6674661.3200000003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6674661.3200000003</v>
          </cell>
          <cell r="N41">
            <v>378211850.64000005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G42">
            <v>63243742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63243742</v>
          </cell>
          <cell r="N42">
            <v>371834263.88000005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29490890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29490890</v>
          </cell>
          <cell r="N43">
            <v>291909743.94999999</v>
          </cell>
        </row>
        <row r="44">
          <cell r="B44" t="str">
            <v>MERG</v>
          </cell>
          <cell r="C44" t="str">
            <v>"МЭРГЭН САНАА ҮЦК" ХХК</v>
          </cell>
          <cell r="D44" t="str">
            <v>●</v>
          </cell>
          <cell r="G44">
            <v>11735102.5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11735102.5</v>
          </cell>
          <cell r="N44">
            <v>267835835.86000001</v>
          </cell>
        </row>
        <row r="45">
          <cell r="B45" t="str">
            <v>BULG</v>
          </cell>
          <cell r="C45" t="str">
            <v>"БУЛГАН БРОКЕР ҮЦК" ХХК</v>
          </cell>
          <cell r="D45" t="str">
            <v>●</v>
          </cell>
          <cell r="G45">
            <v>26030980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26030980</v>
          </cell>
          <cell r="N45">
            <v>216263329.91</v>
          </cell>
        </row>
        <row r="46">
          <cell r="B46" t="str">
            <v>UNDR</v>
          </cell>
          <cell r="C46" t="str">
            <v>"ӨНДӨРХААН ИНВЕСТ ҮЦК" ХХК</v>
          </cell>
          <cell r="D46" t="str">
            <v>●</v>
          </cell>
          <cell r="G46">
            <v>23601426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23601426</v>
          </cell>
          <cell r="N46">
            <v>188966592.82999998</v>
          </cell>
        </row>
        <row r="47">
          <cell r="B47" t="str">
            <v>MONG</v>
          </cell>
          <cell r="C47" t="str">
            <v>"МОНГОЛ СЕКЮРИТИЕС ҮЦК" ХК</v>
          </cell>
          <cell r="D47" t="str">
            <v>●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176331062</v>
          </cell>
        </row>
        <row r="48">
          <cell r="B48" t="str">
            <v>ALTN</v>
          </cell>
          <cell r="C48" t="str">
            <v>"АЛТАН ХОРОМСОГ ҮЦК" ХХК</v>
          </cell>
          <cell r="D48" t="str">
            <v>●</v>
          </cell>
          <cell r="G48">
            <v>71009385.549999997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71009385.549999997</v>
          </cell>
          <cell r="N48">
            <v>150297899.26999998</v>
          </cell>
        </row>
        <row r="49">
          <cell r="B49" t="str">
            <v>MSDQ</v>
          </cell>
          <cell r="C49" t="str">
            <v>"МАСДАК ҮНЭТ ЦААСНЫ КОМПАНИ" ХХК</v>
          </cell>
          <cell r="D49" t="str">
            <v>●</v>
          </cell>
          <cell r="G49">
            <v>4581788.2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4581788.2</v>
          </cell>
          <cell r="N49">
            <v>140349232.84</v>
          </cell>
        </row>
        <row r="50">
          <cell r="B50" t="str">
            <v>NSEC</v>
          </cell>
          <cell r="C50" t="str">
            <v>"НЭЙШНЛ СЕКЮРИТИС ҮЦК" ХХК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9520461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9520461</v>
          </cell>
          <cell r="N50">
            <v>134713028.76999998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G51">
            <v>48692060.090000004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48692060.090000004</v>
          </cell>
          <cell r="N51">
            <v>130256364.21000001</v>
          </cell>
        </row>
        <row r="52">
          <cell r="B52" t="str">
            <v>APS</v>
          </cell>
          <cell r="C52" t="str">
            <v>"АЗИА ПАСИФИК СЕКЬЮРИТИС ҮЦК" ХХК</v>
          </cell>
          <cell r="D52" t="str">
            <v>●</v>
          </cell>
          <cell r="G52">
            <v>22739656.199999999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22739656.199999999</v>
          </cell>
          <cell r="N52">
            <v>130154243.60000001</v>
          </cell>
        </row>
        <row r="53">
          <cell r="B53" t="str">
            <v>BSK</v>
          </cell>
          <cell r="C53" t="str">
            <v>"БЛЮСКАЙ СЕКЬЮРИТИЗ ҮЦК" 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85575685.23999998</v>
          </cell>
        </row>
        <row r="54">
          <cell r="B54" t="str">
            <v>MICC</v>
          </cell>
          <cell r="C54" t="str">
            <v>"ЭМ АЙ СИ СИ  ҮЦК" ХХК</v>
          </cell>
          <cell r="D54" t="str">
            <v>●</v>
          </cell>
          <cell r="E54" t="str">
            <v>●</v>
          </cell>
          <cell r="G54">
            <v>8464980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8464980</v>
          </cell>
          <cell r="N54">
            <v>72756724.969999999</v>
          </cell>
        </row>
        <row r="55">
          <cell r="B55" t="str">
            <v>SECP</v>
          </cell>
          <cell r="C55" t="str">
            <v>"СИКАП  ҮЦК" ХХК</v>
          </cell>
          <cell r="D55" t="str">
            <v>●</v>
          </cell>
          <cell r="E55" t="str">
            <v>●</v>
          </cell>
          <cell r="G55">
            <v>976500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976500</v>
          </cell>
          <cell r="N55">
            <v>58143360.419999994</v>
          </cell>
        </row>
        <row r="56">
          <cell r="B56" t="str">
            <v>SILS</v>
          </cell>
          <cell r="C56" t="str">
            <v>"СИЛВЭР ЛАЙТ СЕКЮРИТИЙЗ ҮЦК" ХХК</v>
          </cell>
          <cell r="D56" t="str">
            <v>●</v>
          </cell>
          <cell r="G56">
            <v>23826865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23826865</v>
          </cell>
          <cell r="N56">
            <v>49855452.149999999</v>
          </cell>
        </row>
        <row r="57">
          <cell r="B57" t="str">
            <v>GATR</v>
          </cell>
          <cell r="C57" t="str">
            <v>"ГАЦУУРТ ТРЕЙД ҮЦК" ХХК</v>
          </cell>
          <cell r="D57" t="str">
            <v>●</v>
          </cell>
          <cell r="G57">
            <v>1946310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1946310</v>
          </cell>
          <cell r="N57">
            <v>47631345.030000001</v>
          </cell>
        </row>
        <row r="58">
          <cell r="B58" t="str">
            <v>ARGB</v>
          </cell>
          <cell r="C58" t="str">
            <v>"АРГАЙ БЭСТ ҮЦК" ХХК</v>
          </cell>
          <cell r="D58" t="str">
            <v>●</v>
          </cell>
          <cell r="G58">
            <v>702833.8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702833.8</v>
          </cell>
          <cell r="N58">
            <v>18962636.300000001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9603762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3788300</v>
          </cell>
        </row>
        <row r="61">
          <cell r="B61" t="str">
            <v>DCF</v>
          </cell>
          <cell r="C61" t="str">
            <v>ДИ СИ ЭФ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BKHE</v>
          </cell>
          <cell r="C62" t="str">
            <v>БАГА ХЭЭР ХХК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GNN</v>
          </cell>
          <cell r="C63" t="str">
            <v>ГОВИЙН НОЁН НУРУУ ХХК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ITR</v>
          </cell>
          <cell r="C64" t="str">
            <v>АЙ ТРЕЙД ХХК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BBSS</v>
          </cell>
          <cell r="C65" t="str">
            <v>БИ БИ ЭС ЭС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DGSN</v>
          </cell>
          <cell r="C66" t="str">
            <v>ДОГСОН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FINL</v>
          </cell>
          <cell r="C67" t="str">
            <v>ФИНАНС ЛИНК ГРУПП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CAPM</v>
          </cell>
          <cell r="C68" t="str">
            <v>"КАПИТАЛ МАРКЕТ КОРПОРАЦИ ҮЦК" ХХК</v>
          </cell>
          <cell r="D68" t="str">
            <v>●</v>
          </cell>
          <cell r="E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 t="str">
            <v>●</v>
          </cell>
          <cell r="F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SGC</v>
          </cell>
          <cell r="C70" t="str">
            <v>"ЭС ЖИ КАПИТАЛ ҮЦК" ХХК</v>
          </cell>
          <cell r="D70" t="str">
            <v>●</v>
          </cell>
          <cell r="E70" t="str">
            <v>●</v>
          </cell>
          <cell r="F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FRON</v>
          </cell>
          <cell r="C71" t="str">
            <v>"ФРОНТИЕР ҮЦК" ХХК</v>
          </cell>
          <cell r="D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MWTS</v>
          </cell>
          <cell r="C72" t="str">
            <v>"ЭМ ДАБЛЬЮ ТИ ЭС ҮЦК"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PREV</v>
          </cell>
          <cell r="C73" t="str">
            <v>ПРЕВАЛЕНТ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ZEUS</v>
          </cell>
          <cell r="C74" t="str">
            <v>ЗЮС КАПИТАЛ ХХК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3"/>
  <sheetViews>
    <sheetView tabSelected="1" view="pageBreakPreview" zoomScale="70" zoomScaleNormal="70" zoomScaleSheetLayoutView="70" workbookViewId="0">
      <pane xSplit="3" ySplit="15" topLeftCell="H16" activePane="bottomRight" state="frozen"/>
      <selection pane="topRight" activeCell="D1" sqref="D1"/>
      <selection pane="bottomLeft" activeCell="A16" sqref="A16"/>
      <selection pane="bottomRight" activeCell="C18" sqref="C18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578125" style="1" bestFit="1" customWidth="1"/>
    <col min="14" max="14" width="25.42578125" style="1" customWidth="1"/>
    <col min="15" max="15" width="16.71093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4"/>
    </row>
    <row r="2" spans="1:17" x14ac:dyDescent="0.25">
      <c r="P2" s="24"/>
    </row>
    <row r="3" spans="1:17" x14ac:dyDescent="0.25">
      <c r="P3" s="24"/>
    </row>
    <row r="4" spans="1:17" x14ac:dyDescent="0.25">
      <c r="P4" s="24"/>
    </row>
    <row r="5" spans="1:17" x14ac:dyDescent="0.25">
      <c r="P5" s="24"/>
    </row>
    <row r="6" spans="1:17" ht="13.9" customHeight="1" x14ac:dyDescent="0.25">
      <c r="P6" s="24"/>
    </row>
    <row r="7" spans="1:17" x14ac:dyDescent="0.25">
      <c r="J7" s="5"/>
      <c r="K7" s="5"/>
      <c r="L7" s="5"/>
      <c r="P7" s="24"/>
    </row>
    <row r="8" spans="1:17" x14ac:dyDescent="0.25">
      <c r="H8" s="6"/>
      <c r="I8" s="6"/>
      <c r="J8" s="7"/>
      <c r="K8" s="7"/>
      <c r="L8" s="7"/>
      <c r="M8" s="7"/>
      <c r="P8" s="24"/>
    </row>
    <row r="9" spans="1:17" ht="15" customHeight="1" x14ac:dyDescent="0.25">
      <c r="B9" s="8"/>
      <c r="C9" s="9"/>
      <c r="D9" s="48" t="s">
        <v>0</v>
      </c>
      <c r="E9" s="48"/>
      <c r="F9" s="48"/>
      <c r="G9" s="48"/>
      <c r="H9" s="48"/>
      <c r="I9" s="48"/>
      <c r="J9" s="48"/>
      <c r="K9" s="48"/>
      <c r="L9" s="48"/>
      <c r="M9" s="9"/>
      <c r="N9" s="9"/>
      <c r="O9" s="9"/>
      <c r="P9" s="24"/>
    </row>
    <row r="10" spans="1:17" x14ac:dyDescent="0.25">
      <c r="P10" s="24"/>
    </row>
    <row r="11" spans="1:17" ht="15" customHeight="1" thickBot="1" x14ac:dyDescent="0.3">
      <c r="L11" s="49" t="s">
        <v>138</v>
      </c>
      <c r="M11" s="49"/>
      <c r="N11" s="49"/>
      <c r="O11" s="49"/>
      <c r="P11" s="24"/>
    </row>
    <row r="12" spans="1:17" ht="14.45" customHeight="1" x14ac:dyDescent="0.25">
      <c r="A12" s="50" t="s">
        <v>1</v>
      </c>
      <c r="B12" s="52" t="s">
        <v>2</v>
      </c>
      <c r="C12" s="52" t="s">
        <v>3</v>
      </c>
      <c r="D12" s="52" t="s">
        <v>4</v>
      </c>
      <c r="E12" s="52"/>
      <c r="F12" s="52"/>
      <c r="G12" s="54" t="s">
        <v>137</v>
      </c>
      <c r="H12" s="54"/>
      <c r="I12" s="54"/>
      <c r="J12" s="54"/>
      <c r="K12" s="54"/>
      <c r="L12" s="54"/>
      <c r="M12" s="54"/>
      <c r="N12" s="56" t="s">
        <v>130</v>
      </c>
      <c r="O12" s="57"/>
      <c r="P12" s="24"/>
    </row>
    <row r="13" spans="1:17" s="8" customFormat="1" ht="15.75" customHeight="1" x14ac:dyDescent="0.25">
      <c r="A13" s="51"/>
      <c r="B13" s="53"/>
      <c r="C13" s="53"/>
      <c r="D13" s="53"/>
      <c r="E13" s="53"/>
      <c r="F13" s="53"/>
      <c r="G13" s="55"/>
      <c r="H13" s="55"/>
      <c r="I13" s="55"/>
      <c r="J13" s="55"/>
      <c r="K13" s="55"/>
      <c r="L13" s="55"/>
      <c r="M13" s="55"/>
      <c r="N13" s="58"/>
      <c r="O13" s="59"/>
      <c r="P13" s="35"/>
      <c r="Q13" s="10"/>
    </row>
    <row r="14" spans="1:17" s="8" customFormat="1" ht="33.75" customHeight="1" x14ac:dyDescent="0.25">
      <c r="A14" s="51"/>
      <c r="B14" s="53"/>
      <c r="C14" s="53"/>
      <c r="D14" s="53"/>
      <c r="E14" s="53"/>
      <c r="F14" s="53"/>
      <c r="G14" s="64" t="s">
        <v>5</v>
      </c>
      <c r="H14" s="65"/>
      <c r="I14" s="66"/>
      <c r="J14" s="64" t="s">
        <v>132</v>
      </c>
      <c r="K14" s="65"/>
      <c r="L14" s="66"/>
      <c r="M14" s="62" t="s">
        <v>6</v>
      </c>
      <c r="N14" s="67" t="s">
        <v>7</v>
      </c>
      <c r="O14" s="69" t="s">
        <v>8</v>
      </c>
      <c r="P14" s="35"/>
      <c r="Q14" s="10"/>
    </row>
    <row r="15" spans="1:17" s="8" customFormat="1" ht="55.9" customHeight="1" x14ac:dyDescent="0.25">
      <c r="A15" s="51"/>
      <c r="B15" s="53"/>
      <c r="C15" s="53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63"/>
      <c r="N15" s="68"/>
      <c r="O15" s="70"/>
    </row>
    <row r="16" spans="1:17" s="45" customFormat="1" ht="55.9" customHeight="1" x14ac:dyDescent="0.25">
      <c r="A16" s="46"/>
      <c r="B16" s="47"/>
      <c r="C16" s="47"/>
      <c r="D16" s="47"/>
      <c r="E16" s="47"/>
      <c r="F16" s="47"/>
      <c r="G16" s="41"/>
      <c r="H16" s="11"/>
      <c r="I16" s="41"/>
      <c r="J16" s="41"/>
      <c r="K16" s="41"/>
      <c r="L16" s="41"/>
      <c r="M16" s="42"/>
      <c r="N16" s="43"/>
      <c r="O16" s="44"/>
    </row>
    <row r="17" spans="1:29" x14ac:dyDescent="0.25">
      <c r="A17" s="12">
        <v>1</v>
      </c>
      <c r="B17" s="13" t="s">
        <v>21</v>
      </c>
      <c r="C17" s="14" t="s">
        <v>22</v>
      </c>
      <c r="D17" s="15" t="s">
        <v>14</v>
      </c>
      <c r="E17" s="16" t="s">
        <v>14</v>
      </c>
      <c r="F17" s="16" t="s">
        <v>14</v>
      </c>
      <c r="G17" s="17">
        <f>VLOOKUP(B17,[1]Brokers!$B$9:$H$69,7,0)</f>
        <v>474279611.44</v>
      </c>
      <c r="H17" s="17">
        <f>VLOOKUP(B17,[1]Brokers!$B$9:$X$69,23,0)</f>
        <v>1669410040</v>
      </c>
      <c r="I17" s="40">
        <f>VLOOKUP(B17,[1]Brokers!$B$9:$R$69,17,0)</f>
        <v>0</v>
      </c>
      <c r="J17" s="17">
        <f>VLOOKUP(B17,[1]Brokers!$B$9:$M$69,12,0)</f>
        <v>0</v>
      </c>
      <c r="K17" s="17">
        <v>0</v>
      </c>
      <c r="L17" s="17">
        <v>0</v>
      </c>
      <c r="M17" s="18">
        <f>L17+I17+J17+H17+G17</f>
        <v>2143689651.4400001</v>
      </c>
      <c r="N17" s="31">
        <f>(VLOOKUP(B17,[2]Sheet1!$B$16:$N$74,13,0))+2143689651.44</f>
        <v>54810709498.079994</v>
      </c>
      <c r="O17" s="34">
        <f>N17/$N$78</f>
        <v>0.22741709802724625</v>
      </c>
      <c r="Q17" s="1"/>
    </row>
    <row r="18" spans="1:29" x14ac:dyDescent="0.25">
      <c r="A18" s="12">
        <v>2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VLOOKUP(B18,[1]Brokers!$B$9:$H$69,7,0)</f>
        <v>592347733.15999997</v>
      </c>
      <c r="H18" s="17">
        <f>VLOOKUP(B18,[1]Brokers!$B$9:$X$69,23,0)</f>
        <v>0</v>
      </c>
      <c r="I18" s="40">
        <f>VLOOKUP(B18,[1]Brokers!$B$9:$R$69,17,0)</f>
        <v>0</v>
      </c>
      <c r="J18" s="17">
        <f>VLOOKUP(B18,[1]Brokers!$B$9:$M$69,12,0)</f>
        <v>0</v>
      </c>
      <c r="K18" s="17">
        <v>0</v>
      </c>
      <c r="L18" s="17">
        <v>0</v>
      </c>
      <c r="M18" s="18">
        <f>L18+I18+J18+H18+G18</f>
        <v>592347733.15999997</v>
      </c>
      <c r="N18" s="31">
        <f>(VLOOKUP(B18,[2]Sheet1!$B$16:$N$74,13,0))+592347733.16</f>
        <v>37321561273.779999</v>
      </c>
      <c r="O18" s="34">
        <f>N18/$N$78</f>
        <v>0.15485224030946762</v>
      </c>
      <c r="Q18" s="1"/>
      <c r="R18" s="61"/>
      <c r="S18" s="61"/>
      <c r="T18" s="61"/>
      <c r="U18" s="61"/>
      <c r="V18" s="2"/>
      <c r="W18" s="3"/>
      <c r="X18" s="3"/>
      <c r="AB18" s="25"/>
      <c r="AC18" s="25"/>
    </row>
    <row r="19" spans="1:29" x14ac:dyDescent="0.25">
      <c r="A19" s="12">
        <v>3</v>
      </c>
      <c r="B19" s="13" t="s">
        <v>15</v>
      </c>
      <c r="C19" s="14" t="s">
        <v>16</v>
      </c>
      <c r="D19" s="15" t="s">
        <v>14</v>
      </c>
      <c r="E19" s="16"/>
      <c r="F19" s="16" t="s">
        <v>14</v>
      </c>
      <c r="G19" s="17">
        <f>VLOOKUP(B19,[1]Brokers!$B$9:$H$69,7,0)</f>
        <v>364775002.56</v>
      </c>
      <c r="H19" s="17">
        <f>VLOOKUP(B19,[1]Brokers!$B$9:$X$69,23,0)</f>
        <v>0</v>
      </c>
      <c r="I19" s="40">
        <f>VLOOKUP(B19,[1]Brokers!$B$9:$R$69,17,0)</f>
        <v>0</v>
      </c>
      <c r="J19" s="17">
        <f>VLOOKUP(B19,[1]Brokers!$B$9:$M$69,12,0)</f>
        <v>0</v>
      </c>
      <c r="K19" s="17">
        <v>0</v>
      </c>
      <c r="L19" s="17">
        <v>0</v>
      </c>
      <c r="M19" s="18">
        <f>L19+I19+J19+H19+G19</f>
        <v>364775002.56</v>
      </c>
      <c r="N19" s="31">
        <f>(VLOOKUP(B19,[2]Sheet1!$B$16:$N$74,13,0))+364775002.56</f>
        <v>27925520065.100002</v>
      </c>
      <c r="O19" s="34">
        <f>N19/$N$78</f>
        <v>0.11586678574794117</v>
      </c>
      <c r="P19" s="36"/>
    </row>
    <row r="20" spans="1:29" x14ac:dyDescent="0.25">
      <c r="A20" s="12">
        <v>6</v>
      </c>
      <c r="B20" s="13" t="s">
        <v>19</v>
      </c>
      <c r="C20" s="14" t="s">
        <v>20</v>
      </c>
      <c r="D20" s="15" t="s">
        <v>14</v>
      </c>
      <c r="E20" s="16" t="s">
        <v>14</v>
      </c>
      <c r="F20" s="16" t="s">
        <v>14</v>
      </c>
      <c r="G20" s="17">
        <f>VLOOKUP(B20,[1]Brokers!$B$9:$H$69,7,0)</f>
        <v>744630387.98000002</v>
      </c>
      <c r="H20" s="17">
        <f>VLOOKUP(B20,[1]Brokers!$B$9:$X$69,23,0)</f>
        <v>57155400</v>
      </c>
      <c r="I20" s="40">
        <f>VLOOKUP(B20,[1]Brokers!$B$9:$R$69,17,0)</f>
        <v>0</v>
      </c>
      <c r="J20" s="17">
        <f>VLOOKUP(B20,[1]Brokers!$B$9:$M$69,12,0)</f>
        <v>0</v>
      </c>
      <c r="K20" s="17">
        <v>0</v>
      </c>
      <c r="L20" s="17">
        <v>0</v>
      </c>
      <c r="M20" s="18">
        <f>L20+I20+J20+H20+G20</f>
        <v>801785787.98000002</v>
      </c>
      <c r="N20" s="31">
        <f>(VLOOKUP(B20,[2]Sheet1!$B$16:$N$74,13,0))+801785787.98</f>
        <v>23161347528.180004</v>
      </c>
      <c r="O20" s="34">
        <f>N20/$N$78</f>
        <v>9.6099585090095238E-2</v>
      </c>
      <c r="P20" s="36"/>
    </row>
    <row r="21" spans="1:29" x14ac:dyDescent="0.25">
      <c r="A21" s="12">
        <v>5</v>
      </c>
      <c r="B21" s="13" t="s">
        <v>41</v>
      </c>
      <c r="C21" s="14" t="s">
        <v>42</v>
      </c>
      <c r="D21" s="15" t="s">
        <v>14</v>
      </c>
      <c r="E21" s="15" t="s">
        <v>14</v>
      </c>
      <c r="F21" s="16" t="s">
        <v>14</v>
      </c>
      <c r="G21" s="17">
        <f>VLOOKUP(B21,[1]Brokers!$B$9:$H$69,7,0)</f>
        <v>352285957.57999998</v>
      </c>
      <c r="H21" s="17">
        <f>VLOOKUP(B21,[1]Brokers!$B$9:$X$69,23,0)</f>
        <v>0</v>
      </c>
      <c r="I21" s="40">
        <f>VLOOKUP(B21,[1]Brokers!$B$9:$R$69,17,0)</f>
        <v>0</v>
      </c>
      <c r="J21" s="17">
        <f>VLOOKUP(B21,[1]Brokers!$B$9:$M$69,12,0)</f>
        <v>0</v>
      </c>
      <c r="K21" s="17">
        <v>0</v>
      </c>
      <c r="L21" s="17">
        <v>0</v>
      </c>
      <c r="M21" s="18">
        <f>L21+I21+J21+H21+G21</f>
        <v>352285957.57999998</v>
      </c>
      <c r="N21" s="31">
        <f>(VLOOKUP(B21,[2]Sheet1!$B$16:$N$74,13,0))+352285957.58</f>
        <v>22477848718.080002</v>
      </c>
      <c r="O21" s="34">
        <f>N21/$N$78</f>
        <v>9.3263655445662091E-2</v>
      </c>
      <c r="P21" s="36"/>
    </row>
    <row r="22" spans="1:29" s="29" customFormat="1" x14ac:dyDescent="0.25">
      <c r="A22" s="12">
        <v>4</v>
      </c>
      <c r="B22" s="13" t="s">
        <v>31</v>
      </c>
      <c r="C22" s="14" t="s">
        <v>32</v>
      </c>
      <c r="D22" s="15" t="s">
        <v>14</v>
      </c>
      <c r="E22" s="16" t="s">
        <v>14</v>
      </c>
      <c r="F22" s="16"/>
      <c r="G22" s="17">
        <f>VLOOKUP(B22,[1]Brokers!$B$9:$H$69,7,0)</f>
        <v>134503282.57999998</v>
      </c>
      <c r="H22" s="17">
        <f>VLOOKUP(B22,[1]Brokers!$B$9:$X$69,23,0)</f>
        <v>34631600</v>
      </c>
      <c r="I22" s="40">
        <f>VLOOKUP(B22,[1]Brokers!$B$9:$R$69,17,0)</f>
        <v>0</v>
      </c>
      <c r="J22" s="17">
        <f>VLOOKUP(B22,[1]Brokers!$B$9:$M$69,12,0)</f>
        <v>0</v>
      </c>
      <c r="K22" s="17">
        <v>0</v>
      </c>
      <c r="L22" s="17">
        <v>0</v>
      </c>
      <c r="M22" s="18">
        <f>L22+I22+J22+H22+G22</f>
        <v>169134882.57999998</v>
      </c>
      <c r="N22" s="31">
        <f>(VLOOKUP(B22,[2]Sheet1!$B$16:$N$74,13,0))+169134882.58</f>
        <v>18740894073.5</v>
      </c>
      <c r="O22" s="34">
        <f>N22/$N$78</f>
        <v>7.7758521713364878E-2</v>
      </c>
      <c r="P22" s="36"/>
      <c r="Q22" s="10"/>
    </row>
    <row r="23" spans="1:29" x14ac:dyDescent="0.25">
      <c r="A23" s="12">
        <v>7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VLOOKUP(B23,[1]Brokers!$B$9:$H$69,7,0)</f>
        <v>332823237.97000003</v>
      </c>
      <c r="H23" s="17">
        <f>VLOOKUP(B23,[1]Brokers!$B$9:$X$69,23,0)</f>
        <v>0</v>
      </c>
      <c r="I23" s="40">
        <f>VLOOKUP(B23,[1]Brokers!$B$9:$R$69,17,0)</f>
        <v>0</v>
      </c>
      <c r="J23" s="17">
        <f>VLOOKUP(B23,[1]Brokers!$B$9:$M$69,12,0)</f>
        <v>2040000000</v>
      </c>
      <c r="K23" s="17">
        <v>0</v>
      </c>
      <c r="L23" s="17">
        <v>0</v>
      </c>
      <c r="M23" s="18">
        <f>L23+I23+J23+H23+G23</f>
        <v>2372823237.9700003</v>
      </c>
      <c r="N23" s="31">
        <f>(VLOOKUP(B23,[2]Sheet1!$B$16:$N$74,13,0))+2372823237.97</f>
        <v>9398138736.7699986</v>
      </c>
      <c r="O23" s="34">
        <f>N23/$N$78</f>
        <v>3.8994157491220795E-2</v>
      </c>
      <c r="P23" s="36"/>
    </row>
    <row r="24" spans="1:29" x14ac:dyDescent="0.25">
      <c r="A24" s="12">
        <v>10</v>
      </c>
      <c r="B24" s="13" t="s">
        <v>29</v>
      </c>
      <c r="C24" s="14" t="s">
        <v>30</v>
      </c>
      <c r="D24" s="15" t="s">
        <v>14</v>
      </c>
      <c r="E24" s="16" t="s">
        <v>14</v>
      </c>
      <c r="F24" s="16" t="s">
        <v>14</v>
      </c>
      <c r="G24" s="17">
        <f>VLOOKUP(B24,[1]Brokers!$B$9:$H$69,7,0)</f>
        <v>651322680.6500001</v>
      </c>
      <c r="H24" s="17">
        <f>VLOOKUP(B24,[1]Brokers!$B$9:$X$69,23,0)</f>
        <v>0</v>
      </c>
      <c r="I24" s="40">
        <f>VLOOKUP(B24,[1]Brokers!$B$9:$R$69,17,0)</f>
        <v>0</v>
      </c>
      <c r="J24" s="17">
        <f>VLOOKUP(B24,[1]Brokers!$B$9:$M$69,12,0)</f>
        <v>0</v>
      </c>
      <c r="K24" s="17">
        <v>0</v>
      </c>
      <c r="L24" s="17">
        <v>0</v>
      </c>
      <c r="M24" s="18">
        <f>L24+I24+J24+H24+G24</f>
        <v>651322680.6500001</v>
      </c>
      <c r="N24" s="31">
        <f>(VLOOKUP(B24,[2]Sheet1!$B$16:$N$74,13,0))+651322680.65</f>
        <v>9160731523.0400009</v>
      </c>
      <c r="O24" s="34">
        <f>N24/$N$78</f>
        <v>3.8009122630486114E-2</v>
      </c>
      <c r="P24" s="36"/>
    </row>
    <row r="25" spans="1:29" x14ac:dyDescent="0.25">
      <c r="A25" s="12">
        <v>8</v>
      </c>
      <c r="B25" s="13" t="s">
        <v>27</v>
      </c>
      <c r="C25" s="14" t="s">
        <v>28</v>
      </c>
      <c r="D25" s="15" t="s">
        <v>14</v>
      </c>
      <c r="E25" s="16" t="s">
        <v>14</v>
      </c>
      <c r="F25" s="16" t="s">
        <v>14</v>
      </c>
      <c r="G25" s="17">
        <f>VLOOKUP(B25,[1]Brokers!$B$9:$H$69,7,0)</f>
        <v>369448376.35000002</v>
      </c>
      <c r="H25" s="17">
        <f>VLOOKUP(B25,[1]Brokers!$B$9:$X$69,23,0)</f>
        <v>0</v>
      </c>
      <c r="I25" s="40">
        <f>VLOOKUP(B25,[1]Brokers!$B$9:$R$69,17,0)</f>
        <v>0</v>
      </c>
      <c r="J25" s="17">
        <f>VLOOKUP(B25,[1]Brokers!$B$9:$M$69,12,0)</f>
        <v>0</v>
      </c>
      <c r="K25" s="17">
        <v>0</v>
      </c>
      <c r="L25" s="17">
        <v>0</v>
      </c>
      <c r="M25" s="18">
        <f>L25+I25+J25+H25+G25</f>
        <v>369448376.35000002</v>
      </c>
      <c r="N25" s="31">
        <f>(VLOOKUP(B25,[2]Sheet1!$B$16:$N$74,13,0))+369448376.35</f>
        <v>8701075172.710001</v>
      </c>
      <c r="O25" s="34">
        <f>N25/$N$78</f>
        <v>3.6101945835310609E-2</v>
      </c>
      <c r="P25" s="36"/>
    </row>
    <row r="26" spans="1:29" x14ac:dyDescent="0.25">
      <c r="A26" s="12">
        <v>9</v>
      </c>
      <c r="B26" s="13" t="s">
        <v>45</v>
      </c>
      <c r="C26" s="14" t="s">
        <v>46</v>
      </c>
      <c r="D26" s="15" t="s">
        <v>14</v>
      </c>
      <c r="E26" s="16"/>
      <c r="F26" s="16"/>
      <c r="G26" s="17">
        <f>VLOOKUP(B26,[1]Brokers!$B$9:$H$69,7,0)</f>
        <v>26625636.899999999</v>
      </c>
      <c r="H26" s="17">
        <f>VLOOKUP(B26,[1]Brokers!$B$9:$X$69,23,0)</f>
        <v>0</v>
      </c>
      <c r="I26" s="40">
        <f>VLOOKUP(B26,[1]Brokers!$B$9:$R$69,17,0)</f>
        <v>0</v>
      </c>
      <c r="J26" s="17">
        <f>VLOOKUP(B26,[1]Brokers!$B$9:$M$69,12,0)</f>
        <v>0</v>
      </c>
      <c r="K26" s="17">
        <v>0</v>
      </c>
      <c r="L26" s="17">
        <v>0</v>
      </c>
      <c r="M26" s="18">
        <f>L26+I26+J26+H26+G26</f>
        <v>26625636.899999999</v>
      </c>
      <c r="N26" s="31">
        <f>(VLOOKUP(B26,[2]Sheet1!$B$16:$N$74,13,0))+26625636.9</f>
        <v>7884273837.6400003</v>
      </c>
      <c r="O26" s="34">
        <f>N26/$N$78</f>
        <v>3.2712925861159266E-2</v>
      </c>
      <c r="P26" s="36"/>
      <c r="Q26" s="1"/>
    </row>
    <row r="27" spans="1:29" x14ac:dyDescent="0.25">
      <c r="A27" s="12">
        <v>11</v>
      </c>
      <c r="B27" s="13" t="s">
        <v>23</v>
      </c>
      <c r="C27" s="14" t="s">
        <v>24</v>
      </c>
      <c r="D27" s="15" t="s">
        <v>14</v>
      </c>
      <c r="E27" s="16" t="s">
        <v>14</v>
      </c>
      <c r="F27" s="16"/>
      <c r="G27" s="17">
        <f>VLOOKUP(B27,[1]Brokers!$B$9:$H$69,7,0)</f>
        <v>2299670044.1999998</v>
      </c>
      <c r="H27" s="17">
        <f>VLOOKUP(B27,[1]Brokers!$B$9:$X$69,23,0)</f>
        <v>0</v>
      </c>
      <c r="I27" s="40">
        <f>VLOOKUP(B27,[1]Brokers!$B$9:$R$69,17,0)</f>
        <v>0</v>
      </c>
      <c r="J27" s="17">
        <f>VLOOKUP(B27,[1]Brokers!$B$9:$M$69,12,0)</f>
        <v>0</v>
      </c>
      <c r="K27" s="17">
        <v>0</v>
      </c>
      <c r="L27" s="17">
        <v>0</v>
      </c>
      <c r="M27" s="18">
        <f>L27+I27+J27+H27+G27</f>
        <v>2299670044.1999998</v>
      </c>
      <c r="N27" s="31">
        <f>(VLOOKUP(B27,[2]Sheet1!$B$16:$N$74,13,0))+2299670044.2</f>
        <v>6523853022.1400003</v>
      </c>
      <c r="O27" s="34">
        <f>N27/$N$78</f>
        <v>2.7068354630646232E-2</v>
      </c>
      <c r="P27" s="36"/>
    </row>
    <row r="28" spans="1:29" x14ac:dyDescent="0.25">
      <c r="A28" s="12">
        <v>14</v>
      </c>
      <c r="B28" s="13" t="s">
        <v>79</v>
      </c>
      <c r="C28" s="14" t="s">
        <v>136</v>
      </c>
      <c r="D28" s="15" t="s">
        <v>14</v>
      </c>
      <c r="E28" s="16"/>
      <c r="F28" s="16"/>
      <c r="G28" s="17">
        <f>VLOOKUP(B28,[1]Brokers!$B$9:$H$69,7,0)</f>
        <v>140697983.40000001</v>
      </c>
      <c r="H28" s="17">
        <f>VLOOKUP(B28,[1]Brokers!$B$9:$X$69,23,0)</f>
        <v>0</v>
      </c>
      <c r="I28" s="40">
        <f>VLOOKUP(B28,[1]Brokers!$B$9:$R$69,17,0)</f>
        <v>0</v>
      </c>
      <c r="J28" s="17">
        <f>VLOOKUP(B28,[1]Brokers!$B$9:$M$69,12,0)</f>
        <v>0</v>
      </c>
      <c r="K28" s="17">
        <v>0</v>
      </c>
      <c r="L28" s="17">
        <v>0</v>
      </c>
      <c r="M28" s="18">
        <f>L28+I28+J28+H28+G28</f>
        <v>140697983.40000001</v>
      </c>
      <c r="N28" s="31">
        <f>(VLOOKUP(B28,[2]Sheet1!$B$16:$N$74,13,0))+140697983.4</f>
        <v>1670175975.2</v>
      </c>
      <c r="O28" s="34">
        <f>N28/$N$78</f>
        <v>6.9297875716809549E-3</v>
      </c>
      <c r="P28" s="36"/>
    </row>
    <row r="29" spans="1:29" x14ac:dyDescent="0.25">
      <c r="A29" s="12">
        <v>13</v>
      </c>
      <c r="B29" s="13" t="s">
        <v>35</v>
      </c>
      <c r="C29" s="14" t="s">
        <v>36</v>
      </c>
      <c r="D29" s="15" t="s">
        <v>14</v>
      </c>
      <c r="E29" s="16" t="s">
        <v>14</v>
      </c>
      <c r="F29" s="16"/>
      <c r="G29" s="17">
        <f>VLOOKUP(B29,[1]Brokers!$B$9:$H$69,7,0)</f>
        <v>50317467.299999997</v>
      </c>
      <c r="H29" s="17">
        <f>VLOOKUP(B29,[1]Brokers!$B$9:$X$69,23,0)</f>
        <v>0</v>
      </c>
      <c r="I29" s="40">
        <f>VLOOKUP(B29,[1]Brokers!$B$9:$R$69,17,0)</f>
        <v>0</v>
      </c>
      <c r="J29" s="17">
        <f>VLOOKUP(B29,[1]Brokers!$B$9:$M$69,12,0)</f>
        <v>0</v>
      </c>
      <c r="K29" s="17">
        <v>0</v>
      </c>
      <c r="L29" s="17">
        <v>0</v>
      </c>
      <c r="M29" s="18">
        <f>L29+I29+J29+H29+G29</f>
        <v>50317467.299999997</v>
      </c>
      <c r="N29" s="31">
        <f>(VLOOKUP(B29,[2]Sheet1!$B$16:$N$74,13,0))+50317467.3</f>
        <v>1549201916.1399999</v>
      </c>
      <c r="O29" s="34">
        <f>N29/$N$78</f>
        <v>6.4278497259582009E-3</v>
      </c>
      <c r="P29" s="36"/>
    </row>
    <row r="30" spans="1:29" x14ac:dyDescent="0.25">
      <c r="A30" s="12">
        <v>12</v>
      </c>
      <c r="B30" s="13" t="s">
        <v>51</v>
      </c>
      <c r="C30" s="14" t="s">
        <v>52</v>
      </c>
      <c r="D30" s="15" t="s">
        <v>14</v>
      </c>
      <c r="E30" s="16" t="s">
        <v>14</v>
      </c>
      <c r="F30" s="16"/>
      <c r="G30" s="17">
        <f>VLOOKUP(B30,[1]Brokers!$B$9:$H$69,7,0)</f>
        <v>25740353.890000001</v>
      </c>
      <c r="H30" s="17">
        <f>VLOOKUP(B30,[1]Brokers!$B$9:$X$69,23,0)</f>
        <v>0</v>
      </c>
      <c r="I30" s="40">
        <f>VLOOKUP(B30,[1]Brokers!$B$9:$R$69,17,0)</f>
        <v>0</v>
      </c>
      <c r="J30" s="17">
        <f>VLOOKUP(B30,[1]Brokers!$B$9:$M$69,12,0)</f>
        <v>0</v>
      </c>
      <c r="K30" s="17">
        <v>0</v>
      </c>
      <c r="L30" s="17">
        <v>0</v>
      </c>
      <c r="M30" s="18">
        <f>L30+I30+J30+H30+G30</f>
        <v>25740353.890000001</v>
      </c>
      <c r="N30" s="31">
        <f>(VLOOKUP(B30,[2]Sheet1!$B$16:$N$74,13,0))+25740353.89</f>
        <v>1407790235.55</v>
      </c>
      <c r="O30" s="34">
        <f>N30/$N$78</f>
        <v>5.8411134052386128E-3</v>
      </c>
      <c r="P30" s="36"/>
    </row>
    <row r="31" spans="1:29" x14ac:dyDescent="0.25">
      <c r="A31" s="12">
        <v>16</v>
      </c>
      <c r="B31" s="13" t="s">
        <v>67</v>
      </c>
      <c r="C31" s="14" t="s">
        <v>68</v>
      </c>
      <c r="D31" s="15" t="s">
        <v>14</v>
      </c>
      <c r="E31" s="16"/>
      <c r="F31" s="16"/>
      <c r="G31" s="17">
        <f>VLOOKUP(B31,[1]Brokers!$B$9:$H$69,7,0)</f>
        <v>169028868</v>
      </c>
      <c r="H31" s="17">
        <f>VLOOKUP(B31,[1]Brokers!$B$9:$X$69,23,0)</f>
        <v>0</v>
      </c>
      <c r="I31" s="40">
        <f>VLOOKUP(B31,[1]Brokers!$B$9:$R$69,17,0)</f>
        <v>0</v>
      </c>
      <c r="J31" s="17">
        <f>VLOOKUP(B31,[1]Brokers!$B$9:$M$69,12,0)</f>
        <v>0</v>
      </c>
      <c r="K31" s="17">
        <v>0</v>
      </c>
      <c r="L31" s="17">
        <v>0</v>
      </c>
      <c r="M31" s="18">
        <f>L31+I31+J31+H31+G31</f>
        <v>169028868</v>
      </c>
      <c r="N31" s="31">
        <f>(VLOOKUP(B31,[2]Sheet1!$B$16:$N$74,13,0))+169028868</f>
        <v>980695749.93000007</v>
      </c>
      <c r="O31" s="34">
        <f>N31/$N$78</f>
        <v>4.0690402211368409E-3</v>
      </c>
      <c r="P31" s="36"/>
    </row>
    <row r="32" spans="1:29" x14ac:dyDescent="0.25">
      <c r="A32" s="12">
        <v>15</v>
      </c>
      <c r="B32" s="13" t="s">
        <v>108</v>
      </c>
      <c r="C32" s="14" t="s">
        <v>109</v>
      </c>
      <c r="D32" s="15" t="s">
        <v>14</v>
      </c>
      <c r="E32" s="16"/>
      <c r="F32" s="16"/>
      <c r="G32" s="17">
        <f>VLOOKUP(B32,[1]Brokers!$B$9:$H$69,7,0)</f>
        <v>26754442</v>
      </c>
      <c r="H32" s="17">
        <f>VLOOKUP(B32,[1]Brokers!$B$9:$X$69,23,0)</f>
        <v>0</v>
      </c>
      <c r="I32" s="40">
        <f>VLOOKUP(B32,[1]Brokers!$B$9:$R$69,17,0)</f>
        <v>0</v>
      </c>
      <c r="J32" s="17">
        <f>VLOOKUP(B32,[1]Brokers!$B$9:$M$69,12,0)</f>
        <v>0</v>
      </c>
      <c r="K32" s="17">
        <v>0</v>
      </c>
      <c r="L32" s="17">
        <v>0</v>
      </c>
      <c r="M32" s="18">
        <f>L32+I32+J32+H32+G32</f>
        <v>26754442</v>
      </c>
      <c r="N32" s="31">
        <f>(VLOOKUP(B32,[2]Sheet1!$B$16:$N$74,13,0))+26754442</f>
        <v>970969100.00999999</v>
      </c>
      <c r="O32" s="34">
        <f>N32/$N$78</f>
        <v>4.0286830260085633E-3</v>
      </c>
      <c r="P32" s="36"/>
    </row>
    <row r="33" spans="1:16" x14ac:dyDescent="0.25">
      <c r="A33" s="12">
        <v>17</v>
      </c>
      <c r="B33" s="13" t="s">
        <v>82</v>
      </c>
      <c r="C33" s="14" t="s">
        <v>83</v>
      </c>
      <c r="D33" s="15" t="s">
        <v>14</v>
      </c>
      <c r="E33" s="16"/>
      <c r="F33" s="16"/>
      <c r="G33" s="17">
        <f>VLOOKUP(B33,[1]Brokers!$B$9:$H$69,7,0)</f>
        <v>1161686</v>
      </c>
      <c r="H33" s="17">
        <f>VLOOKUP(B33,[1]Brokers!$B$9:$X$69,23,0)</f>
        <v>0</v>
      </c>
      <c r="I33" s="40">
        <f>VLOOKUP(B33,[1]Brokers!$B$9:$R$69,17,0)</f>
        <v>0</v>
      </c>
      <c r="J33" s="17">
        <f>VLOOKUP(B33,[1]Brokers!$B$9:$M$69,12,0)</f>
        <v>0</v>
      </c>
      <c r="K33" s="17">
        <v>0</v>
      </c>
      <c r="L33" s="17">
        <v>0</v>
      </c>
      <c r="M33" s="18">
        <f>L33+I33+J33+H33+G33</f>
        <v>1161686</v>
      </c>
      <c r="N33" s="31">
        <f>(VLOOKUP(B33,[2]Sheet1!$B$16:$N$74,13,0))+1161686</f>
        <v>847458702.33999991</v>
      </c>
      <c r="O33" s="34">
        <f>N33/$N$78</f>
        <v>3.5162215659851987E-3</v>
      </c>
      <c r="P33" s="36"/>
    </row>
    <row r="34" spans="1:16" x14ac:dyDescent="0.25">
      <c r="A34" s="12">
        <v>18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VLOOKUP(B34,[1]Brokers!$B$9:$H$69,7,0)</f>
        <v>74090120.069999993</v>
      </c>
      <c r="H34" s="17">
        <f>VLOOKUP(B34,[1]Brokers!$B$9:$X$69,23,0)</f>
        <v>0</v>
      </c>
      <c r="I34" s="40">
        <f>VLOOKUP(B34,[1]Brokers!$B$9:$R$69,17,0)</f>
        <v>0</v>
      </c>
      <c r="J34" s="17">
        <f>VLOOKUP(B34,[1]Brokers!$B$9:$M$69,12,0)</f>
        <v>0</v>
      </c>
      <c r="K34" s="17">
        <v>0</v>
      </c>
      <c r="L34" s="17">
        <v>0</v>
      </c>
      <c r="M34" s="18">
        <f>L34+I34+J34+H34+G34</f>
        <v>74090120.069999993</v>
      </c>
      <c r="N34" s="31">
        <f>(VLOOKUP(B34,[2]Sheet1!$B$16:$N$74,13,0))+74090120.07</f>
        <v>720356667.72000003</v>
      </c>
      <c r="O34" s="34">
        <f>N34/$N$78</f>
        <v>2.9888579151342368E-3</v>
      </c>
      <c r="P34" s="36"/>
    </row>
    <row r="35" spans="1:16" x14ac:dyDescent="0.25">
      <c r="A35" s="12">
        <v>19</v>
      </c>
      <c r="B35" s="13" t="s">
        <v>61</v>
      </c>
      <c r="C35" s="14" t="s">
        <v>62</v>
      </c>
      <c r="D35" s="15" t="s">
        <v>14</v>
      </c>
      <c r="E35" s="16" t="s">
        <v>14</v>
      </c>
      <c r="F35" s="16" t="s">
        <v>14</v>
      </c>
      <c r="G35" s="17">
        <f>VLOOKUP(B35,[1]Brokers!$B$9:$H$69,7,0)</f>
        <v>3165983</v>
      </c>
      <c r="H35" s="17">
        <f>VLOOKUP(B35,[1]Brokers!$B$9:$X$69,23,0)</f>
        <v>0</v>
      </c>
      <c r="I35" s="40">
        <f>VLOOKUP(B35,[1]Brokers!$B$9:$R$69,17,0)</f>
        <v>0</v>
      </c>
      <c r="J35" s="17">
        <f>VLOOKUP(B35,[1]Brokers!$B$9:$M$69,12,0)</f>
        <v>0</v>
      </c>
      <c r="K35" s="17">
        <v>0</v>
      </c>
      <c r="L35" s="17">
        <v>0</v>
      </c>
      <c r="M35" s="18">
        <f>L35+I35+J35+H35+G35</f>
        <v>3165983</v>
      </c>
      <c r="N35" s="31">
        <f>(VLOOKUP(B35,[2]Sheet1!$B$16:$N$74,13,0))+3165983</f>
        <v>660308110.47000003</v>
      </c>
      <c r="O35" s="34">
        <f>N35/$N$78</f>
        <v>2.739708273475314E-3</v>
      </c>
      <c r="P35" s="36"/>
    </row>
    <row r="36" spans="1:16" x14ac:dyDescent="0.25">
      <c r="A36" s="12">
        <v>20</v>
      </c>
      <c r="B36" s="13" t="s">
        <v>59</v>
      </c>
      <c r="C36" s="14" t="s">
        <v>60</v>
      </c>
      <c r="D36" s="15" t="s">
        <v>14</v>
      </c>
      <c r="E36" s="16"/>
      <c r="F36" s="16"/>
      <c r="G36" s="17">
        <f>VLOOKUP(B36,[1]Brokers!$B$9:$H$69,7,0)</f>
        <v>9109035.6699999999</v>
      </c>
      <c r="H36" s="17">
        <f>VLOOKUP(B36,[1]Brokers!$B$9:$X$69,23,0)</f>
        <v>0</v>
      </c>
      <c r="I36" s="40">
        <f>VLOOKUP(B36,[1]Brokers!$B$9:$R$69,17,0)</f>
        <v>0</v>
      </c>
      <c r="J36" s="17">
        <f>VLOOKUP(B36,[1]Brokers!$B$9:$M$69,12,0)</f>
        <v>0</v>
      </c>
      <c r="K36" s="17">
        <v>0</v>
      </c>
      <c r="L36" s="17">
        <v>0</v>
      </c>
      <c r="M36" s="18">
        <f>L36+I36+J36+H36+G36</f>
        <v>9109035.6699999999</v>
      </c>
      <c r="N36" s="31">
        <f>(VLOOKUP(B36,[2]Sheet1!$B$16:$N$74,13,0))+9109035.67</f>
        <v>650289916.71999991</v>
      </c>
      <c r="O36" s="34">
        <f>N36/$N$78</f>
        <v>2.698141423292878E-3</v>
      </c>
      <c r="P36" s="36"/>
    </row>
    <row r="37" spans="1:16" x14ac:dyDescent="0.25">
      <c r="A37" s="12">
        <v>22</v>
      </c>
      <c r="B37" s="13" t="s">
        <v>94</v>
      </c>
      <c r="C37" s="14" t="s">
        <v>95</v>
      </c>
      <c r="D37" s="15" t="s">
        <v>14</v>
      </c>
      <c r="E37" s="16" t="s">
        <v>14</v>
      </c>
      <c r="F37" s="16" t="s">
        <v>14</v>
      </c>
      <c r="G37" s="17">
        <f>VLOOKUP(B37,[1]Brokers!$B$9:$H$69,7,0)</f>
        <v>13191696.5</v>
      </c>
      <c r="H37" s="17">
        <f>VLOOKUP(B37,[1]Brokers!$B$9:$X$69,23,0)</f>
        <v>0</v>
      </c>
      <c r="I37" s="40">
        <f>VLOOKUP(B37,[1]Brokers!$B$9:$R$69,17,0)</f>
        <v>0</v>
      </c>
      <c r="J37" s="17">
        <f>VLOOKUP(B37,[1]Brokers!$B$9:$M$69,12,0)</f>
        <v>0</v>
      </c>
      <c r="K37" s="17">
        <v>0</v>
      </c>
      <c r="L37" s="17">
        <v>0</v>
      </c>
      <c r="M37" s="18">
        <f>L37+I37+J37+H37+G37</f>
        <v>13191696.5</v>
      </c>
      <c r="N37" s="31">
        <f>(VLOOKUP(B37,[2]Sheet1!$B$16:$N$74,13,0))+13191696.5</f>
        <v>596485955.46000004</v>
      </c>
      <c r="O37" s="34">
        <f>N37/$N$78</f>
        <v>2.4749014608080248E-3</v>
      </c>
      <c r="P37" s="36"/>
    </row>
    <row r="38" spans="1:16" x14ac:dyDescent="0.25">
      <c r="A38" s="12">
        <v>21</v>
      </c>
      <c r="B38" s="13" t="s">
        <v>43</v>
      </c>
      <c r="C38" s="14" t="s">
        <v>44</v>
      </c>
      <c r="D38" s="15" t="s">
        <v>14</v>
      </c>
      <c r="E38" s="16" t="s">
        <v>14</v>
      </c>
      <c r="F38" s="16"/>
      <c r="G38" s="17">
        <f>VLOOKUP(B38,[1]Brokers!$B$9:$H$69,7,0)</f>
        <v>20527250</v>
      </c>
      <c r="H38" s="17">
        <f>VLOOKUP(B38,[1]Brokers!$B$9:$X$69,23,0)</f>
        <v>0</v>
      </c>
      <c r="I38" s="40">
        <f>VLOOKUP(B38,[1]Brokers!$B$9:$R$69,17,0)</f>
        <v>0</v>
      </c>
      <c r="J38" s="17">
        <f>VLOOKUP(B38,[1]Brokers!$B$9:$M$69,12,0)</f>
        <v>0</v>
      </c>
      <c r="K38" s="17">
        <v>0</v>
      </c>
      <c r="L38" s="17">
        <v>0</v>
      </c>
      <c r="M38" s="18">
        <f>L38+I38+J38+H38+G38</f>
        <v>20527250</v>
      </c>
      <c r="N38" s="31">
        <f>(VLOOKUP(B38,[2]Sheet1!$B$16:$N$74,13,0))+20527250</f>
        <v>503135095.31000006</v>
      </c>
      <c r="O38" s="34">
        <f>N38/$N$78</f>
        <v>2.0875760291895204E-3</v>
      </c>
      <c r="P38" s="36"/>
    </row>
    <row r="39" spans="1:16" x14ac:dyDescent="0.25">
      <c r="A39" s="12">
        <v>24</v>
      </c>
      <c r="B39" s="13" t="s">
        <v>122</v>
      </c>
      <c r="C39" s="14" t="s">
        <v>123</v>
      </c>
      <c r="D39" s="15" t="s">
        <v>14</v>
      </c>
      <c r="E39" s="16"/>
      <c r="F39" s="16"/>
      <c r="G39" s="17">
        <f>VLOOKUP(B39,[1]Brokers!$B$9:$H$69,7,0)</f>
        <v>7992890</v>
      </c>
      <c r="H39" s="17">
        <f>VLOOKUP(B39,[1]Brokers!$B$9:$X$69,23,0)</f>
        <v>0</v>
      </c>
      <c r="I39" s="40">
        <f>VLOOKUP(B39,[1]Brokers!$B$9:$R$69,17,0)</f>
        <v>0</v>
      </c>
      <c r="J39" s="17">
        <f>VLOOKUP(B39,[1]Brokers!$B$9:$M$69,12,0)</f>
        <v>0</v>
      </c>
      <c r="K39" s="17">
        <v>0</v>
      </c>
      <c r="L39" s="17">
        <v>0</v>
      </c>
      <c r="M39" s="18">
        <f>L39+I39+J39+H39+G39</f>
        <v>7992890</v>
      </c>
      <c r="N39" s="31">
        <f>(VLOOKUP(B39,[2]Sheet1!$B$16:$N$74,13,0))+7992890</f>
        <v>502667560.15999997</v>
      </c>
      <c r="O39" s="34">
        <f>N39/$N$78</f>
        <v>2.0856361621815504E-3</v>
      </c>
      <c r="P39" s="36"/>
    </row>
    <row r="40" spans="1:16" x14ac:dyDescent="0.25">
      <c r="A40" s="12">
        <v>23</v>
      </c>
      <c r="B40" s="13" t="s">
        <v>55</v>
      </c>
      <c r="C40" s="14" t="s">
        <v>56</v>
      </c>
      <c r="D40" s="15" t="s">
        <v>14</v>
      </c>
      <c r="E40" s="16"/>
      <c r="F40" s="16"/>
      <c r="G40" s="17">
        <f>VLOOKUP(B40,[1]Brokers!$B$9:$H$69,7,0)</f>
        <v>14821942</v>
      </c>
      <c r="H40" s="17">
        <f>VLOOKUP(B40,[1]Brokers!$B$9:$X$69,23,0)</f>
        <v>0</v>
      </c>
      <c r="I40" s="40">
        <f>VLOOKUP(B40,[1]Brokers!$B$9:$R$69,17,0)</f>
        <v>0</v>
      </c>
      <c r="J40" s="17">
        <f>VLOOKUP(B40,[1]Brokers!$B$9:$M$69,12,0)</f>
        <v>0</v>
      </c>
      <c r="K40" s="17">
        <v>0</v>
      </c>
      <c r="L40" s="17">
        <v>0</v>
      </c>
      <c r="M40" s="18">
        <f>L40+I40+J40+H40+G40</f>
        <v>14821942</v>
      </c>
      <c r="N40" s="31">
        <f>(VLOOKUP(B40,[2]Sheet1!$B$16:$N$74,13,0))+14821942</f>
        <v>402267332.91999996</v>
      </c>
      <c r="O40" s="34">
        <f>N40/$N$78</f>
        <v>1.6690619464984509E-3</v>
      </c>
      <c r="P40" s="36"/>
    </row>
    <row r="41" spans="1:16" x14ac:dyDescent="0.25">
      <c r="A41" s="12">
        <v>27</v>
      </c>
      <c r="B41" s="13" t="s">
        <v>69</v>
      </c>
      <c r="C41" s="14" t="s">
        <v>70</v>
      </c>
      <c r="D41" s="15" t="s">
        <v>14</v>
      </c>
      <c r="E41" s="16"/>
      <c r="F41" s="16"/>
      <c r="G41" s="17">
        <f>VLOOKUP(B41,[1]Brokers!$B$9:$H$69,7,0)</f>
        <v>1418526.3</v>
      </c>
      <c r="H41" s="17">
        <f>VLOOKUP(B41,[1]Brokers!$B$9:$X$69,23,0)</f>
        <v>0</v>
      </c>
      <c r="I41" s="40">
        <f>VLOOKUP(B41,[1]Brokers!$B$9:$R$69,17,0)</f>
        <v>0</v>
      </c>
      <c r="J41" s="17">
        <f>VLOOKUP(B41,[1]Brokers!$B$9:$M$69,12,0)</f>
        <v>0</v>
      </c>
      <c r="K41" s="17">
        <v>0</v>
      </c>
      <c r="L41" s="17">
        <v>0</v>
      </c>
      <c r="M41" s="18">
        <f>L41+I41+J41+H41+G41</f>
        <v>1418526.3</v>
      </c>
      <c r="N41" s="31">
        <f>(VLOOKUP(B41,[2]Sheet1!$B$16:$N$74,13,0))+1418526.3</f>
        <v>389932719.13999999</v>
      </c>
      <c r="O41" s="34">
        <f>N41/$N$78</f>
        <v>1.6178839541531277E-3</v>
      </c>
      <c r="P41" s="36"/>
    </row>
    <row r="42" spans="1:16" x14ac:dyDescent="0.25">
      <c r="A42" s="12">
        <v>26</v>
      </c>
      <c r="B42" s="13" t="s">
        <v>17</v>
      </c>
      <c r="C42" s="14" t="s">
        <v>18</v>
      </c>
      <c r="D42" s="15" t="s">
        <v>14</v>
      </c>
      <c r="E42" s="16" t="s">
        <v>14</v>
      </c>
      <c r="F42" s="16" t="s">
        <v>14</v>
      </c>
      <c r="G42" s="17">
        <f>VLOOKUP(B42,[1]Brokers!$B$9:$H$69,7,0)</f>
        <v>10785440</v>
      </c>
      <c r="H42" s="17">
        <f>VLOOKUP(B42,[1]Brokers!$B$9:$X$69,23,0)</f>
        <v>0</v>
      </c>
      <c r="I42" s="40">
        <f>VLOOKUP(B42,[1]Brokers!$B$9:$R$69,17,0)</f>
        <v>0</v>
      </c>
      <c r="J42" s="17">
        <f>VLOOKUP(B42,[1]Brokers!$B$9:$M$69,12,0)</f>
        <v>0</v>
      </c>
      <c r="K42" s="17">
        <v>0</v>
      </c>
      <c r="L42" s="17">
        <v>0</v>
      </c>
      <c r="M42" s="18">
        <f>L42+I42+J42+H42+G42</f>
        <v>10785440</v>
      </c>
      <c r="N42" s="31">
        <f>(VLOOKUP(B42,[2]Sheet1!$B$16:$N$74,13,0))+10785440</f>
        <v>388997290.64000005</v>
      </c>
      <c r="O42" s="34">
        <f>N42/$N$78</f>
        <v>1.6140027339166076E-3</v>
      </c>
      <c r="P42" s="36"/>
    </row>
    <row r="43" spans="1:16" x14ac:dyDescent="0.25">
      <c r="A43" s="12">
        <v>25</v>
      </c>
      <c r="B43" s="13" t="s">
        <v>77</v>
      </c>
      <c r="C43" s="14" t="s">
        <v>78</v>
      </c>
      <c r="D43" s="15" t="s">
        <v>14</v>
      </c>
      <c r="E43" s="16"/>
      <c r="F43" s="16"/>
      <c r="G43" s="17">
        <f>VLOOKUP(B43,[1]Brokers!$B$9:$H$69,7,0)</f>
        <v>0</v>
      </c>
      <c r="H43" s="17">
        <f>VLOOKUP(B43,[1]Brokers!$B$9:$X$69,23,0)</f>
        <v>0</v>
      </c>
      <c r="I43" s="40">
        <f>VLOOKUP(B43,[1]Brokers!$B$9:$R$69,17,0)</f>
        <v>0</v>
      </c>
      <c r="J43" s="17">
        <f>VLOOKUP(B43,[1]Brokers!$B$9:$M$69,12,0)</f>
        <v>0</v>
      </c>
      <c r="K43" s="17">
        <v>0</v>
      </c>
      <c r="L43" s="17">
        <v>0</v>
      </c>
      <c r="M43" s="18">
        <f>L43+I43+J43+H43+G43</f>
        <v>0</v>
      </c>
      <c r="N43" s="31">
        <f>(VLOOKUP(B43,[2]Sheet1!$B$16:$N$74,13,0))+0</f>
        <v>371834263.88000005</v>
      </c>
      <c r="O43" s="34">
        <f>N43/$N$78</f>
        <v>1.5427909985666047E-3</v>
      </c>
      <c r="P43" s="36"/>
    </row>
    <row r="44" spans="1:16" x14ac:dyDescent="0.25">
      <c r="A44" s="12">
        <v>28</v>
      </c>
      <c r="B44" s="13" t="s">
        <v>33</v>
      </c>
      <c r="C44" s="14" t="s">
        <v>34</v>
      </c>
      <c r="D44" s="15" t="s">
        <v>14</v>
      </c>
      <c r="E44" s="16" t="s">
        <v>14</v>
      </c>
      <c r="F44" s="16"/>
      <c r="G44" s="17">
        <f>VLOOKUP(B44,[1]Brokers!$B$9:$H$69,7,0)</f>
        <v>28856437.5</v>
      </c>
      <c r="H44" s="17">
        <f>VLOOKUP(B44,[1]Brokers!$B$9:$X$69,23,0)</f>
        <v>0</v>
      </c>
      <c r="I44" s="40">
        <f>VLOOKUP(B44,[1]Brokers!$B$9:$R$69,17,0)</f>
        <v>0</v>
      </c>
      <c r="J44" s="17">
        <f>VLOOKUP(B44,[1]Brokers!$B$9:$M$69,12,0)</f>
        <v>0</v>
      </c>
      <c r="K44" s="17">
        <v>0</v>
      </c>
      <c r="L44" s="17">
        <v>0</v>
      </c>
      <c r="M44" s="18">
        <f>L44+I44+J44+H44+G44</f>
        <v>28856437.5</v>
      </c>
      <c r="N44" s="31">
        <f>(VLOOKUP(B44,[2]Sheet1!$B$16:$N$74,13,0))+28856437.5</f>
        <v>320766181.44999999</v>
      </c>
      <c r="O44" s="34">
        <f>N44/$N$78</f>
        <v>1.3309025699292478E-3</v>
      </c>
      <c r="P44" s="36"/>
    </row>
    <row r="45" spans="1:16" x14ac:dyDescent="0.25">
      <c r="A45" s="12">
        <v>29</v>
      </c>
      <c r="B45" s="13" t="s">
        <v>73</v>
      </c>
      <c r="C45" s="14" t="s">
        <v>74</v>
      </c>
      <c r="D45" s="15" t="s">
        <v>14</v>
      </c>
      <c r="E45" s="16"/>
      <c r="F45" s="16"/>
      <c r="G45" s="17">
        <f>VLOOKUP(B45,[1]Brokers!$B$9:$H$69,7,0)</f>
        <v>2002715</v>
      </c>
      <c r="H45" s="17">
        <f>VLOOKUP(B45,[1]Brokers!$B$9:$X$69,23,0)</f>
        <v>0</v>
      </c>
      <c r="I45" s="40">
        <f>VLOOKUP(B45,[1]Brokers!$B$9:$R$69,17,0)</f>
        <v>0</v>
      </c>
      <c r="J45" s="17">
        <f>VLOOKUP(B45,[1]Brokers!$B$9:$M$69,12,0)</f>
        <v>0</v>
      </c>
      <c r="K45" s="17">
        <v>0</v>
      </c>
      <c r="L45" s="17">
        <v>0</v>
      </c>
      <c r="M45" s="18">
        <f>L45+I45+J45+H45+G45</f>
        <v>2002715</v>
      </c>
      <c r="N45" s="31">
        <f>(VLOOKUP(B45,[2]Sheet1!$B$16:$N$74,13,0))+2002715</f>
        <v>269838550.86000001</v>
      </c>
      <c r="O45" s="34">
        <f>N45/$N$78</f>
        <v>1.1195968951032886E-3</v>
      </c>
      <c r="P45" s="36"/>
    </row>
    <row r="46" spans="1:16" x14ac:dyDescent="0.25">
      <c r="A46" s="12">
        <v>32</v>
      </c>
      <c r="B46" s="13" t="s">
        <v>49</v>
      </c>
      <c r="C46" s="14" t="s">
        <v>50</v>
      </c>
      <c r="D46" s="15" t="s">
        <v>14</v>
      </c>
      <c r="E46" s="16"/>
      <c r="F46" s="16"/>
      <c r="G46" s="17">
        <f>VLOOKUP(B46,[1]Brokers!$B$9:$H$69,7,0)</f>
        <v>4072131</v>
      </c>
      <c r="H46" s="17">
        <f>VLOOKUP(B46,[1]Brokers!$B$9:$X$69,23,0)</f>
        <v>0</v>
      </c>
      <c r="I46" s="40">
        <f>VLOOKUP(B46,[1]Brokers!$B$9:$R$69,17,0)</f>
        <v>0</v>
      </c>
      <c r="J46" s="17">
        <f>VLOOKUP(B46,[1]Brokers!$B$9:$M$69,12,0)</f>
        <v>0</v>
      </c>
      <c r="K46" s="17">
        <v>0</v>
      </c>
      <c r="L46" s="17">
        <v>0</v>
      </c>
      <c r="M46" s="18">
        <f>L46+I46+J46+H46+G46</f>
        <v>4072131</v>
      </c>
      <c r="N46" s="31">
        <f>(VLOOKUP(B46,[2]Sheet1!$B$16:$N$74,13,0))+4072131</f>
        <v>220335460.91</v>
      </c>
      <c r="O46" s="34">
        <f>N46/$N$78</f>
        <v>9.1420183339176121E-4</v>
      </c>
      <c r="P46" s="36"/>
    </row>
    <row r="47" spans="1:16" x14ac:dyDescent="0.25">
      <c r="A47" s="12">
        <v>30</v>
      </c>
      <c r="B47" s="13" t="s">
        <v>53</v>
      </c>
      <c r="C47" s="14" t="s">
        <v>54</v>
      </c>
      <c r="D47" s="15" t="s">
        <v>14</v>
      </c>
      <c r="E47" s="16"/>
      <c r="F47" s="16"/>
      <c r="G47" s="17">
        <f>VLOOKUP(B47,[1]Brokers!$B$9:$H$69,7,0)</f>
        <v>14556060.699999999</v>
      </c>
      <c r="H47" s="17">
        <f>VLOOKUP(B47,[1]Brokers!$B$9:$X$69,23,0)</f>
        <v>0</v>
      </c>
      <c r="I47" s="40">
        <f>VLOOKUP(B47,[1]Brokers!$B$9:$R$69,17,0)</f>
        <v>0</v>
      </c>
      <c r="J47" s="17">
        <f>VLOOKUP(B47,[1]Brokers!$B$9:$M$69,12,0)</f>
        <v>0</v>
      </c>
      <c r="K47" s="17">
        <v>0</v>
      </c>
      <c r="L47" s="17">
        <v>0</v>
      </c>
      <c r="M47" s="18">
        <f>L47+I47+J47+H47+G47</f>
        <v>14556060.699999999</v>
      </c>
      <c r="N47" s="31">
        <f>(VLOOKUP(B47,[2]Sheet1!$B$16:$N$74,13,0))+14556060.7</f>
        <v>203522653.52999997</v>
      </c>
      <c r="O47" s="34">
        <f>N47/$N$78</f>
        <v>8.4444320594351382E-4</v>
      </c>
      <c r="P47" s="36"/>
    </row>
    <row r="48" spans="1:16" x14ac:dyDescent="0.25">
      <c r="A48" s="12">
        <v>34</v>
      </c>
      <c r="B48" s="13" t="s">
        <v>37</v>
      </c>
      <c r="C48" s="14" t="s">
        <v>38</v>
      </c>
      <c r="D48" s="15" t="s">
        <v>14</v>
      </c>
      <c r="E48" s="16" t="s">
        <v>14</v>
      </c>
      <c r="F48" s="16" t="s">
        <v>14</v>
      </c>
      <c r="G48" s="17">
        <f>VLOOKUP(B48,[1]Brokers!$B$9:$H$69,7,0)</f>
        <v>46155675</v>
      </c>
      <c r="H48" s="17">
        <f>VLOOKUP(B48,[1]Brokers!$B$9:$X$69,23,0)</f>
        <v>0</v>
      </c>
      <c r="I48" s="40">
        <f>VLOOKUP(B48,[1]Brokers!$B$9:$R$69,17,0)</f>
        <v>0</v>
      </c>
      <c r="J48" s="17">
        <f>VLOOKUP(B48,[1]Brokers!$B$9:$M$69,12,0)</f>
        <v>0</v>
      </c>
      <c r="K48" s="17">
        <v>0</v>
      </c>
      <c r="L48" s="17">
        <v>0</v>
      </c>
      <c r="M48" s="18">
        <f>L48+I48+J48+H48+G48</f>
        <v>46155675</v>
      </c>
      <c r="N48" s="31">
        <f>(VLOOKUP(B48,[2]Sheet1!$B$16:$N$74,13,0))+46155675</f>
        <v>180868703.76999998</v>
      </c>
      <c r="O48" s="34">
        <f>N48/$N$78</f>
        <v>7.5044888329285197E-4</v>
      </c>
      <c r="P48" s="36"/>
    </row>
    <row r="49" spans="1:17" x14ac:dyDescent="0.25">
      <c r="A49" s="12">
        <v>31</v>
      </c>
      <c r="B49" s="13" t="s">
        <v>75</v>
      </c>
      <c r="C49" s="14" t="s">
        <v>76</v>
      </c>
      <c r="D49" s="15" t="s">
        <v>14</v>
      </c>
      <c r="E49" s="16"/>
      <c r="F49" s="16"/>
      <c r="G49" s="17">
        <f>VLOOKUP(B49,[1]Brokers!$B$9:$H$69,7,0)</f>
        <v>0</v>
      </c>
      <c r="H49" s="17">
        <f>VLOOKUP(B49,[1]Brokers!$B$9:$X$69,23,0)</f>
        <v>0</v>
      </c>
      <c r="I49" s="40">
        <f>VLOOKUP(B49,[1]Brokers!$B$9:$R$69,17,0)</f>
        <v>0</v>
      </c>
      <c r="J49" s="17">
        <f>VLOOKUP(B49,[1]Brokers!$B$9:$M$69,12,0)</f>
        <v>0</v>
      </c>
      <c r="K49" s="17">
        <v>0</v>
      </c>
      <c r="L49" s="17">
        <v>0</v>
      </c>
      <c r="M49" s="18">
        <f>L49+I49+J49+H49+G49</f>
        <v>0</v>
      </c>
      <c r="N49" s="31">
        <f>(VLOOKUP(B49,[2]Sheet1!$B$16:$N$74,13,0))+0</f>
        <v>176331062</v>
      </c>
      <c r="O49" s="34">
        <f>N49/$N$78</f>
        <v>7.3162158963673246E-4</v>
      </c>
      <c r="P49" s="36"/>
    </row>
    <row r="50" spans="1:17" x14ac:dyDescent="0.25">
      <c r="A50" s="12">
        <v>33</v>
      </c>
      <c r="B50" s="13" t="s">
        <v>65</v>
      </c>
      <c r="C50" s="14" t="s">
        <v>66</v>
      </c>
      <c r="D50" s="15" t="s">
        <v>14</v>
      </c>
      <c r="E50" s="16"/>
      <c r="F50" s="16"/>
      <c r="G50" s="17">
        <f>VLOOKUP(B50,[1]Brokers!$B$9:$H$69,7,0)</f>
        <v>1701000</v>
      </c>
      <c r="H50" s="17">
        <f>VLOOKUP(B50,[1]Brokers!$B$9:$X$69,23,0)</f>
        <v>0</v>
      </c>
      <c r="I50" s="40">
        <f>VLOOKUP(B50,[1]Brokers!$B$9:$R$69,17,0)</f>
        <v>0</v>
      </c>
      <c r="J50" s="17">
        <f>VLOOKUP(B50,[1]Brokers!$B$9:$M$69,12,0)</f>
        <v>0</v>
      </c>
      <c r="K50" s="17">
        <v>0</v>
      </c>
      <c r="L50" s="17">
        <v>0</v>
      </c>
      <c r="M50" s="18">
        <f>L50+I50+J50+H50+G50</f>
        <v>1701000</v>
      </c>
      <c r="N50" s="31">
        <f>(VLOOKUP(B50,[2]Sheet1!$B$16:$N$74,13,0))+1701000</f>
        <v>151998899.26999998</v>
      </c>
      <c r="O50" s="34">
        <f>N50/$N$78</f>
        <v>6.306641328284574E-4</v>
      </c>
      <c r="P50" s="36"/>
    </row>
    <row r="51" spans="1:17" x14ac:dyDescent="0.25">
      <c r="A51" s="12">
        <v>35</v>
      </c>
      <c r="B51" s="13" t="s">
        <v>80</v>
      </c>
      <c r="C51" s="14" t="s">
        <v>81</v>
      </c>
      <c r="D51" s="15" t="s">
        <v>14</v>
      </c>
      <c r="E51" s="16"/>
      <c r="F51" s="16"/>
      <c r="G51" s="17">
        <f>VLOOKUP(B51,[1]Brokers!$B$9:$H$69,7,0)</f>
        <v>3179902</v>
      </c>
      <c r="H51" s="17">
        <f>VLOOKUP(B51,[1]Brokers!$B$9:$X$69,23,0)</f>
        <v>0</v>
      </c>
      <c r="I51" s="40">
        <f>VLOOKUP(B51,[1]Brokers!$B$9:$R$69,17,0)</f>
        <v>0</v>
      </c>
      <c r="J51" s="17">
        <f>VLOOKUP(B51,[1]Brokers!$B$9:$M$69,12,0)</f>
        <v>0</v>
      </c>
      <c r="K51" s="17">
        <v>0</v>
      </c>
      <c r="L51" s="17">
        <v>0</v>
      </c>
      <c r="M51" s="18">
        <f>L51+I51+J51+H51+G51</f>
        <v>3179902</v>
      </c>
      <c r="N51" s="31">
        <f>(VLOOKUP(B51,[2]Sheet1!$B$16:$N$74,13,0))+3179902</f>
        <v>143529134.84</v>
      </c>
      <c r="O51" s="34">
        <f>N51/$N$78</f>
        <v>5.9552192676538026E-4</v>
      </c>
      <c r="P51" s="36"/>
    </row>
    <row r="52" spans="1:17" s="20" customFormat="1" x14ac:dyDescent="0.2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VLOOKUP(B52,[1]Brokers!$B$9:$H$69,7,0)</f>
        <v>2967840</v>
      </c>
      <c r="H52" s="17">
        <f>VLOOKUP(B52,[1]Brokers!$B$9:$X$69,23,0)</f>
        <v>0</v>
      </c>
      <c r="I52" s="40">
        <f>VLOOKUP(B52,[1]Brokers!$B$9:$R$69,17,0)</f>
        <v>0</v>
      </c>
      <c r="J52" s="17">
        <f>VLOOKUP(B52,[1]Brokers!$B$9:$M$69,12,0)</f>
        <v>0</v>
      </c>
      <c r="K52" s="17">
        <v>0</v>
      </c>
      <c r="L52" s="17">
        <v>0</v>
      </c>
      <c r="M52" s="18">
        <f>L52+I52+J52+H52+G52</f>
        <v>2967840</v>
      </c>
      <c r="N52" s="31">
        <f>(VLOOKUP(B52,[2]Sheet1!$B$16:$N$74,13,0))+2967840</f>
        <v>133224204.21000001</v>
      </c>
      <c r="O52" s="34">
        <f>N52/$N$78</f>
        <v>5.527653662189641E-4</v>
      </c>
      <c r="P52" s="36"/>
      <c r="Q52" s="19"/>
    </row>
    <row r="53" spans="1:17" x14ac:dyDescent="0.25">
      <c r="A53" s="12">
        <v>36</v>
      </c>
      <c r="B53" s="13" t="s">
        <v>39</v>
      </c>
      <c r="C53" s="14" t="s">
        <v>40</v>
      </c>
      <c r="D53" s="15" t="s">
        <v>14</v>
      </c>
      <c r="E53" s="16"/>
      <c r="F53" s="16"/>
      <c r="G53" s="17">
        <f>VLOOKUP(B53,[1]Brokers!$B$9:$H$69,7,0)</f>
        <v>0</v>
      </c>
      <c r="H53" s="17">
        <f>VLOOKUP(B53,[1]Brokers!$B$9:$X$69,23,0)</f>
        <v>0</v>
      </c>
      <c r="I53" s="40">
        <f>VLOOKUP(B53,[1]Brokers!$B$9:$R$69,17,0)</f>
        <v>0</v>
      </c>
      <c r="J53" s="17">
        <f>VLOOKUP(B53,[1]Brokers!$B$9:$M$69,12,0)</f>
        <v>0</v>
      </c>
      <c r="K53" s="17">
        <v>0</v>
      </c>
      <c r="L53" s="17">
        <v>0</v>
      </c>
      <c r="M53" s="18">
        <f>L53+I53+J53+H53+G53</f>
        <v>0</v>
      </c>
      <c r="N53" s="31">
        <f>(VLOOKUP(B53,[2]Sheet1!$B$16:$N$74,13,0))+0</f>
        <v>130154243.60000001</v>
      </c>
      <c r="O53" s="34">
        <f>N53/$N$78</f>
        <v>5.400276815697878E-4</v>
      </c>
      <c r="P53" s="36"/>
    </row>
    <row r="54" spans="1:17" x14ac:dyDescent="0.25">
      <c r="A54" s="12">
        <v>38</v>
      </c>
      <c r="B54" s="13" t="s">
        <v>88</v>
      </c>
      <c r="C54" s="14" t="s">
        <v>89</v>
      </c>
      <c r="D54" s="15" t="s">
        <v>14</v>
      </c>
      <c r="E54" s="16"/>
      <c r="F54" s="16"/>
      <c r="G54" s="17">
        <f>VLOOKUP(B54,[1]Brokers!$B$9:$H$69,7,0)</f>
        <v>480181</v>
      </c>
      <c r="H54" s="17">
        <f>VLOOKUP(B54,[1]Brokers!$B$9:$X$69,23,0)</f>
        <v>0</v>
      </c>
      <c r="I54" s="40">
        <f>VLOOKUP(B54,[1]Brokers!$B$9:$R$69,17,0)</f>
        <v>0</v>
      </c>
      <c r="J54" s="17">
        <f>VLOOKUP(B54,[1]Brokers!$B$9:$M$69,12,0)</f>
        <v>0</v>
      </c>
      <c r="K54" s="17">
        <v>0</v>
      </c>
      <c r="L54" s="17">
        <v>0</v>
      </c>
      <c r="M54" s="18">
        <f>L54+I54+J54+H54+G54</f>
        <v>480181</v>
      </c>
      <c r="N54" s="31">
        <f>(VLOOKUP(B54,[2]Sheet1!$B$16:$N$74,13,0))+480181</f>
        <v>86055866.23999998</v>
      </c>
      <c r="O54" s="34">
        <f>N54/$N$78</f>
        <v>3.570575084273853E-4</v>
      </c>
      <c r="P54" s="36"/>
    </row>
    <row r="55" spans="1:17" x14ac:dyDescent="0.25">
      <c r="A55" s="12">
        <v>39</v>
      </c>
      <c r="B55" s="13" t="s">
        <v>84</v>
      </c>
      <c r="C55" s="14" t="s">
        <v>85</v>
      </c>
      <c r="D55" s="15" t="s">
        <v>14</v>
      </c>
      <c r="E55" s="16" t="s">
        <v>14</v>
      </c>
      <c r="F55" s="16"/>
      <c r="G55" s="17">
        <f>VLOOKUP(B55,[1]Brokers!$B$9:$H$69,7,0)</f>
        <v>0</v>
      </c>
      <c r="H55" s="17">
        <f>VLOOKUP(B55,[1]Brokers!$B$9:$X$69,23,0)</f>
        <v>0</v>
      </c>
      <c r="I55" s="40">
        <f>VLOOKUP(B55,[1]Brokers!$B$9:$R$69,17,0)</f>
        <v>0</v>
      </c>
      <c r="J55" s="17">
        <f>VLOOKUP(B55,[1]Brokers!$B$9:$M$69,12,0)</f>
        <v>0</v>
      </c>
      <c r="K55" s="17">
        <v>0</v>
      </c>
      <c r="L55" s="17">
        <v>0</v>
      </c>
      <c r="M55" s="18">
        <f>L55+I55+J55+H55+G55</f>
        <v>0</v>
      </c>
      <c r="N55" s="31">
        <f>(VLOOKUP(B55,[2]Sheet1!$B$16:$N$74,13,0))+0</f>
        <v>72756724.969999999</v>
      </c>
      <c r="O55" s="34">
        <f>N55/$N$78</f>
        <v>3.0187756017322658E-4</v>
      </c>
      <c r="P55" s="36"/>
    </row>
    <row r="56" spans="1:17" x14ac:dyDescent="0.25">
      <c r="A56" s="12">
        <v>40</v>
      </c>
      <c r="B56" s="13" t="s">
        <v>57</v>
      </c>
      <c r="C56" s="14" t="s">
        <v>58</v>
      </c>
      <c r="D56" s="15" t="s">
        <v>14</v>
      </c>
      <c r="E56" s="16" t="s">
        <v>14</v>
      </c>
      <c r="F56" s="16"/>
      <c r="G56" s="17">
        <f>VLOOKUP(B56,[1]Brokers!$B$9:$H$69,7,0)</f>
        <v>395000</v>
      </c>
      <c r="H56" s="17">
        <f>VLOOKUP(B56,[1]Brokers!$B$9:$X$69,23,0)</f>
        <v>0</v>
      </c>
      <c r="I56" s="40">
        <f>VLOOKUP(B56,[1]Brokers!$B$9:$R$69,17,0)</f>
        <v>0</v>
      </c>
      <c r="J56" s="17">
        <f>VLOOKUP(B56,[1]Brokers!$B$9:$M$69,12,0)</f>
        <v>0</v>
      </c>
      <c r="K56" s="17">
        <v>0</v>
      </c>
      <c r="L56" s="17">
        <v>0</v>
      </c>
      <c r="M56" s="18">
        <f>L56+I56+J56+H56+G56</f>
        <v>395000</v>
      </c>
      <c r="N56" s="31">
        <f>(VLOOKUP(B56,[2]Sheet1!$B$16:$N$74,13,0))+395000</f>
        <v>58538360.419999994</v>
      </c>
      <c r="O56" s="34">
        <f>N56/$N$78</f>
        <v>2.4288362934721266E-4</v>
      </c>
      <c r="P56" s="36"/>
    </row>
    <row r="57" spans="1:17" x14ac:dyDescent="0.25">
      <c r="A57" s="12">
        <v>42</v>
      </c>
      <c r="B57" s="13" t="s">
        <v>135</v>
      </c>
      <c r="C57" s="14" t="s">
        <v>134</v>
      </c>
      <c r="D57" s="15" t="s">
        <v>14</v>
      </c>
      <c r="E57" s="16"/>
      <c r="F57" s="16"/>
      <c r="G57" s="17">
        <f>VLOOKUP(B57,[1]Brokers!$B$9:$H$69,7,0)</f>
        <v>6116221</v>
      </c>
      <c r="H57" s="17">
        <f>VLOOKUP(B57,[1]Brokers!$B$9:$X$69,23,0)</f>
        <v>0</v>
      </c>
      <c r="I57" s="40">
        <f>VLOOKUP(B57,[1]Brokers!$B$9:$R$69,17,0)</f>
        <v>0</v>
      </c>
      <c r="J57" s="17">
        <f>VLOOKUP(B57,[1]Brokers!$B$9:$M$69,12,0)</f>
        <v>0</v>
      </c>
      <c r="K57" s="17"/>
      <c r="L57" s="17">
        <v>0</v>
      </c>
      <c r="M57" s="18">
        <f>L57+I57+J57+H57+G57</f>
        <v>6116221</v>
      </c>
      <c r="N57" s="31">
        <f>(VLOOKUP(B57,[2]Sheet1!$B$16:$N$74,13,0))+6116221</f>
        <v>55971673.149999999</v>
      </c>
      <c r="O57" s="34">
        <f>N57/$N$78</f>
        <v>2.3223409432327139E-4</v>
      </c>
      <c r="P57" s="36"/>
    </row>
    <row r="58" spans="1:17" x14ac:dyDescent="0.25">
      <c r="A58" s="12">
        <v>41</v>
      </c>
      <c r="B58" s="13" t="s">
        <v>90</v>
      </c>
      <c r="C58" s="14" t="s">
        <v>91</v>
      </c>
      <c r="D58" s="15" t="s">
        <v>14</v>
      </c>
      <c r="E58" s="16"/>
      <c r="F58" s="16"/>
      <c r="G58" s="17">
        <f>VLOOKUP(B58,[1]Brokers!$B$9:$H$69,7,0)</f>
        <v>549900</v>
      </c>
      <c r="H58" s="17">
        <f>VLOOKUP(B58,[1]Brokers!$B$9:$X$69,23,0)</f>
        <v>0</v>
      </c>
      <c r="I58" s="40">
        <f>VLOOKUP(B58,[1]Brokers!$B$9:$R$69,17,0)</f>
        <v>0</v>
      </c>
      <c r="J58" s="17">
        <f>VLOOKUP(B58,[1]Brokers!$B$9:$M$69,12,0)</f>
        <v>0</v>
      </c>
      <c r="K58" s="17">
        <v>0</v>
      </c>
      <c r="L58" s="17">
        <v>0</v>
      </c>
      <c r="M58" s="18">
        <f>L58+I58+J58+H58+G58</f>
        <v>549900</v>
      </c>
      <c r="N58" s="31">
        <f>(VLOOKUP(B58,[2]Sheet1!$B$16:$N$74,13,0))+549900</f>
        <v>48181245.030000001</v>
      </c>
      <c r="O58" s="34">
        <f>N58/$N$78</f>
        <v>1.9991054712484811E-4</v>
      </c>
      <c r="P58" s="36"/>
    </row>
    <row r="59" spans="1:17" x14ac:dyDescent="0.25">
      <c r="A59" s="12">
        <v>44</v>
      </c>
      <c r="B59" s="13" t="s">
        <v>96</v>
      </c>
      <c r="C59" s="14" t="s">
        <v>97</v>
      </c>
      <c r="D59" s="15" t="s">
        <v>14</v>
      </c>
      <c r="E59" s="16"/>
      <c r="F59" s="16"/>
      <c r="G59" s="17">
        <f>VLOOKUP(B59,[1]Brokers!$B$9:$H$69,7,0)</f>
        <v>10960933</v>
      </c>
      <c r="H59" s="17">
        <f>VLOOKUP(B59,[1]Brokers!$B$9:$X$69,23,0)</f>
        <v>0</v>
      </c>
      <c r="I59" s="40">
        <f>VLOOKUP(B59,[1]Brokers!$B$9:$R$69,17,0)</f>
        <v>0</v>
      </c>
      <c r="J59" s="17">
        <f>VLOOKUP(B59,[1]Brokers!$B$9:$M$69,12,0)</f>
        <v>0</v>
      </c>
      <c r="K59" s="17">
        <v>0</v>
      </c>
      <c r="L59" s="17">
        <v>0</v>
      </c>
      <c r="M59" s="18">
        <f>L59+I59+J59+H59+G59</f>
        <v>10960933</v>
      </c>
      <c r="N59" s="31">
        <f>(VLOOKUP(B59,[2]Sheet1!$B$16:$N$74,13,0))+10960933</f>
        <v>20564695</v>
      </c>
      <c r="O59" s="34">
        <f>N59/$N$78</f>
        <v>8.5325720129188378E-5</v>
      </c>
      <c r="P59" s="36"/>
    </row>
    <row r="60" spans="1:17" x14ac:dyDescent="0.25">
      <c r="A60" s="12">
        <v>43</v>
      </c>
      <c r="B60" s="13" t="s">
        <v>86</v>
      </c>
      <c r="C60" s="14" t="s">
        <v>87</v>
      </c>
      <c r="D60" s="15" t="s">
        <v>14</v>
      </c>
      <c r="E60" s="16"/>
      <c r="F60" s="16"/>
      <c r="G60" s="17">
        <f>VLOOKUP(B60,[1]Brokers!$B$9:$H$69,7,0)</f>
        <v>0</v>
      </c>
      <c r="H60" s="17">
        <f>VLOOKUP(B60,[1]Brokers!$B$9:$X$69,23,0)</f>
        <v>0</v>
      </c>
      <c r="I60" s="40">
        <f>VLOOKUP(B60,[1]Brokers!$B$9:$R$69,17,0)</f>
        <v>0</v>
      </c>
      <c r="J60" s="17">
        <f>VLOOKUP(B60,[1]Brokers!$B$9:$M$69,12,0)</f>
        <v>0</v>
      </c>
      <c r="K60" s="17">
        <v>0</v>
      </c>
      <c r="L60" s="17">
        <v>0</v>
      </c>
      <c r="M60" s="18">
        <f>L60+I60+J60+H60+G60</f>
        <v>0</v>
      </c>
      <c r="N60" s="31">
        <f>(VLOOKUP(B60,[2]Sheet1!$B$16:$N$74,13,0))+0</f>
        <v>18962636.300000001</v>
      </c>
      <c r="O60" s="34">
        <f>N60/$N$78</f>
        <v>7.8678560408767956E-5</v>
      </c>
      <c r="P60" s="36"/>
    </row>
    <row r="61" spans="1:17" x14ac:dyDescent="0.25">
      <c r="A61" s="12">
        <v>45</v>
      </c>
      <c r="B61" s="13" t="s">
        <v>106</v>
      </c>
      <c r="C61" s="14" t="s">
        <v>107</v>
      </c>
      <c r="D61" s="15" t="s">
        <v>14</v>
      </c>
      <c r="E61" s="15" t="s">
        <v>14</v>
      </c>
      <c r="F61" s="16"/>
      <c r="G61" s="17">
        <f>VLOOKUP(B61,[1]Brokers!$B$9:$H$69,7,0)</f>
        <v>0</v>
      </c>
      <c r="H61" s="17">
        <f>VLOOKUP(B61,[1]Brokers!$B$9:$X$69,23,0)</f>
        <v>0</v>
      </c>
      <c r="I61" s="40">
        <f>VLOOKUP(B61,[1]Brokers!$B$9:$R$69,17,0)</f>
        <v>0</v>
      </c>
      <c r="J61" s="17">
        <f>VLOOKUP(B61,[1]Brokers!$B$9:$M$69,12,0)</f>
        <v>0</v>
      </c>
      <c r="K61" s="17">
        <v>0</v>
      </c>
      <c r="L61" s="17">
        <v>0</v>
      </c>
      <c r="M61" s="18">
        <f>L61+I61+J61+H61+G61</f>
        <v>0</v>
      </c>
      <c r="N61" s="31">
        <f>(VLOOKUP(B61,[2]Sheet1!$B$16:$N$74,13,0))+0</f>
        <v>3788300</v>
      </c>
      <c r="O61" s="34">
        <f>N61/$N$78</f>
        <v>1.5718172604330108E-5</v>
      </c>
      <c r="P61" s="36"/>
    </row>
    <row r="62" spans="1:17" x14ac:dyDescent="0.25">
      <c r="A62" s="12">
        <v>46</v>
      </c>
      <c r="B62" s="13" t="s">
        <v>139</v>
      </c>
      <c r="C62" s="14" t="s">
        <v>141</v>
      </c>
      <c r="D62" s="15" t="s">
        <v>14</v>
      </c>
      <c r="E62" s="16"/>
      <c r="F62" s="16"/>
      <c r="G62" s="17">
        <f>VLOOKUP(B62,[1]Brokers!$B$9:$H$69,7,0)</f>
        <v>113500</v>
      </c>
      <c r="H62" s="17">
        <f>VLOOKUP(B62,[1]Brokers!$B$9:$X$69,23,0)</f>
        <v>0</v>
      </c>
      <c r="I62" s="40">
        <f>VLOOKUP(B62,[1]Brokers!$B$9:$R$69,17,0)</f>
        <v>0</v>
      </c>
      <c r="J62" s="17">
        <f>VLOOKUP(B62,[1]Brokers!$B$9:$M$69,12,0)</f>
        <v>0</v>
      </c>
      <c r="K62" s="17">
        <v>0</v>
      </c>
      <c r="L62" s="17">
        <v>0</v>
      </c>
      <c r="M62" s="18">
        <f>L62+I62+J62+H62+G62</f>
        <v>113500</v>
      </c>
      <c r="N62" s="31">
        <v>113500</v>
      </c>
      <c r="O62" s="34">
        <f>N62/$N$78</f>
        <v>4.7092695683854686E-7</v>
      </c>
      <c r="P62" s="36"/>
    </row>
    <row r="63" spans="1:17" x14ac:dyDescent="0.25">
      <c r="A63" s="12">
        <v>47</v>
      </c>
      <c r="B63" s="13" t="s">
        <v>112</v>
      </c>
      <c r="C63" s="14" t="s">
        <v>113</v>
      </c>
      <c r="D63" s="15" t="s">
        <v>14</v>
      </c>
      <c r="E63" s="16"/>
      <c r="F63" s="16"/>
      <c r="G63" s="17">
        <f>VLOOKUP(B63,[1]Brokers!$B$9:$H$69,7,0)</f>
        <v>0</v>
      </c>
      <c r="H63" s="17">
        <f>VLOOKUP(B63,[1]Brokers!$B$9:$X$69,23,0)</f>
        <v>0</v>
      </c>
      <c r="I63" s="40">
        <f>VLOOKUP(B63,[1]Brokers!$B$9:$R$69,17,0)</f>
        <v>0</v>
      </c>
      <c r="J63" s="17">
        <f>VLOOKUP(B63,[1]Brokers!$B$9:$M$69,12,0)</f>
        <v>0</v>
      </c>
      <c r="K63" s="17">
        <v>0</v>
      </c>
      <c r="L63" s="17">
        <v>0</v>
      </c>
      <c r="M63" s="18">
        <f>L63+I63+J63+H63+G63</f>
        <v>0</v>
      </c>
      <c r="N63" s="31">
        <f>(VLOOKUP(B63,[2]Sheet1!$B$16:$N$74,13,0))+0</f>
        <v>0</v>
      </c>
      <c r="O63" s="34">
        <f>N63/$N$78</f>
        <v>0</v>
      </c>
      <c r="P63" s="36"/>
    </row>
    <row r="64" spans="1:17" x14ac:dyDescent="0.25">
      <c r="A64" s="12">
        <v>48</v>
      </c>
      <c r="B64" s="13" t="s">
        <v>114</v>
      </c>
      <c r="C64" s="14" t="s">
        <v>115</v>
      </c>
      <c r="D64" s="15"/>
      <c r="E64" s="16"/>
      <c r="F64" s="16"/>
      <c r="G64" s="17">
        <f>VLOOKUP(B64,[1]Brokers!$B$9:$H$69,7,0)</f>
        <v>0</v>
      </c>
      <c r="H64" s="17">
        <f>VLOOKUP(B64,[1]Brokers!$B$9:$X$69,23,0)</f>
        <v>0</v>
      </c>
      <c r="I64" s="40">
        <f>VLOOKUP(B64,[1]Brokers!$B$9:$R$69,17,0)</f>
        <v>0</v>
      </c>
      <c r="J64" s="17">
        <f>VLOOKUP(B64,[1]Brokers!$B$9:$M$69,12,0)</f>
        <v>0</v>
      </c>
      <c r="K64" s="17">
        <v>0</v>
      </c>
      <c r="L64" s="17">
        <v>0</v>
      </c>
      <c r="M64" s="18">
        <f>L64+I64+J64+H64+G64</f>
        <v>0</v>
      </c>
      <c r="N64" s="31">
        <f>(VLOOKUP(B64,[2]Sheet1!$B$16:$N$74,13,0))+0</f>
        <v>0</v>
      </c>
      <c r="O64" s="34">
        <f>N64/$N$78</f>
        <v>0</v>
      </c>
      <c r="P64" s="36"/>
    </row>
    <row r="65" spans="1:17" x14ac:dyDescent="0.25">
      <c r="A65" s="12">
        <v>49</v>
      </c>
      <c r="B65" s="13" t="s">
        <v>100</v>
      </c>
      <c r="C65" s="14" t="s">
        <v>101</v>
      </c>
      <c r="D65" s="15"/>
      <c r="E65" s="16"/>
      <c r="F65" s="16"/>
      <c r="G65" s="17">
        <f>VLOOKUP(B65,[1]Brokers!$B$9:$H$69,7,0)</f>
        <v>0</v>
      </c>
      <c r="H65" s="17">
        <f>VLOOKUP(B65,[1]Brokers!$B$9:$X$69,23,0)</f>
        <v>0</v>
      </c>
      <c r="I65" s="40">
        <f>VLOOKUP(B65,[1]Brokers!$B$9:$R$69,17,0)</f>
        <v>0</v>
      </c>
      <c r="J65" s="17">
        <f>VLOOKUP(B65,[1]Brokers!$B$9:$M$69,12,0)</f>
        <v>0</v>
      </c>
      <c r="K65" s="17">
        <v>0</v>
      </c>
      <c r="L65" s="17">
        <v>0</v>
      </c>
      <c r="M65" s="18">
        <f>L65+I65+J65+H65+G65</f>
        <v>0</v>
      </c>
      <c r="N65" s="31">
        <f>(VLOOKUP(B65,[2]Sheet1!$B$16:$N$74,13,0))+0</f>
        <v>0</v>
      </c>
      <c r="O65" s="34">
        <f>N65/$N$78</f>
        <v>0</v>
      </c>
      <c r="P65" s="36"/>
    </row>
    <row r="66" spans="1:17" x14ac:dyDescent="0.25">
      <c r="A66" s="12">
        <v>50</v>
      </c>
      <c r="B66" s="13" t="s">
        <v>120</v>
      </c>
      <c r="C66" s="14" t="s">
        <v>121</v>
      </c>
      <c r="D66" s="15"/>
      <c r="E66" s="16"/>
      <c r="F66" s="16"/>
      <c r="G66" s="17">
        <f>VLOOKUP(B66,[1]Brokers!$B$9:$H$69,7,0)</f>
        <v>0</v>
      </c>
      <c r="H66" s="17">
        <f>VLOOKUP(B66,[1]Brokers!$B$9:$X$69,23,0)</f>
        <v>0</v>
      </c>
      <c r="I66" s="40">
        <f>VLOOKUP(B66,[1]Brokers!$B$9:$R$69,17,0)</f>
        <v>0</v>
      </c>
      <c r="J66" s="17">
        <f>VLOOKUP(B66,[1]Brokers!$B$9:$M$69,12,0)</f>
        <v>0</v>
      </c>
      <c r="K66" s="17">
        <v>0</v>
      </c>
      <c r="L66" s="17">
        <v>0</v>
      </c>
      <c r="M66" s="18">
        <f>L66+I66+J66+H66+G66</f>
        <v>0</v>
      </c>
      <c r="N66" s="31">
        <f>(VLOOKUP(B66,[2]Sheet1!$B$16:$N$74,13,0))+0</f>
        <v>0</v>
      </c>
      <c r="O66" s="34">
        <f>N66/$N$78</f>
        <v>0</v>
      </c>
      <c r="P66" s="36"/>
    </row>
    <row r="67" spans="1:17" x14ac:dyDescent="0.25">
      <c r="A67" s="12">
        <v>51</v>
      </c>
      <c r="B67" s="13" t="s">
        <v>116</v>
      </c>
      <c r="C67" s="14" t="s">
        <v>117</v>
      </c>
      <c r="D67" s="15"/>
      <c r="E67" s="16"/>
      <c r="F67" s="16"/>
      <c r="G67" s="17">
        <f>VLOOKUP(B67,[1]Brokers!$B$9:$H$69,7,0)</f>
        <v>0</v>
      </c>
      <c r="H67" s="17">
        <f>VLOOKUP(B67,[1]Brokers!$B$9:$X$69,23,0)</f>
        <v>0</v>
      </c>
      <c r="I67" s="40">
        <f>VLOOKUP(B67,[1]Brokers!$B$9:$R$69,17,0)</f>
        <v>0</v>
      </c>
      <c r="J67" s="17">
        <f>VLOOKUP(B67,[1]Brokers!$B$9:$M$69,12,0)</f>
        <v>0</v>
      </c>
      <c r="K67" s="17">
        <v>0</v>
      </c>
      <c r="L67" s="17">
        <v>0</v>
      </c>
      <c r="M67" s="18">
        <f>L67+I67+J67+H67+G67</f>
        <v>0</v>
      </c>
      <c r="N67" s="31">
        <f>(VLOOKUP(B67,[2]Sheet1!$B$16:$N$74,13,0))+0</f>
        <v>0</v>
      </c>
      <c r="O67" s="34">
        <f>N67/$N$78</f>
        <v>0</v>
      </c>
      <c r="P67" s="36"/>
      <c r="Q67" s="21"/>
    </row>
    <row r="68" spans="1:17" x14ac:dyDescent="0.25">
      <c r="A68" s="12">
        <v>52</v>
      </c>
      <c r="B68" s="13" t="s">
        <v>118</v>
      </c>
      <c r="C68" s="14" t="s">
        <v>119</v>
      </c>
      <c r="D68" s="15"/>
      <c r="E68" s="16"/>
      <c r="F68" s="16"/>
      <c r="G68" s="17">
        <f>VLOOKUP(B68,[1]Brokers!$B$9:$H$69,7,0)</f>
        <v>0</v>
      </c>
      <c r="H68" s="17">
        <f>VLOOKUP(B68,[1]Brokers!$B$9:$X$69,23,0)</f>
        <v>0</v>
      </c>
      <c r="I68" s="40">
        <f>VLOOKUP(B68,[1]Brokers!$B$9:$R$69,17,0)</f>
        <v>0</v>
      </c>
      <c r="J68" s="17">
        <f>VLOOKUP(B68,[1]Brokers!$B$9:$M$69,12,0)</f>
        <v>0</v>
      </c>
      <c r="K68" s="17">
        <v>0</v>
      </c>
      <c r="L68" s="17">
        <v>0</v>
      </c>
      <c r="M68" s="18">
        <f>L68+I68+J68+H68+G68</f>
        <v>0</v>
      </c>
      <c r="N68" s="31">
        <f>(VLOOKUP(B68,[2]Sheet1!$B$16:$N$74,13,0))+0</f>
        <v>0</v>
      </c>
      <c r="O68" s="34">
        <f>N68/$N$78</f>
        <v>0</v>
      </c>
      <c r="P68" s="36"/>
    </row>
    <row r="69" spans="1:17" x14ac:dyDescent="0.25">
      <c r="A69" s="12">
        <v>53</v>
      </c>
      <c r="B69" s="13" t="s">
        <v>110</v>
      </c>
      <c r="C69" s="14" t="s">
        <v>111</v>
      </c>
      <c r="D69" s="15"/>
      <c r="E69" s="16"/>
      <c r="F69" s="16"/>
      <c r="G69" s="17">
        <f>VLOOKUP(B69,[1]Brokers!$B$9:$H$69,7,0)</f>
        <v>0</v>
      </c>
      <c r="H69" s="17">
        <f>VLOOKUP(B69,[1]Brokers!$B$9:$X$69,23,0)</f>
        <v>0</v>
      </c>
      <c r="I69" s="40">
        <f>VLOOKUP(B69,[1]Brokers!$B$9:$R$69,17,0)</f>
        <v>0</v>
      </c>
      <c r="J69" s="17">
        <f>VLOOKUP(B69,[1]Brokers!$B$9:$M$69,12,0)</f>
        <v>0</v>
      </c>
      <c r="K69" s="17">
        <v>0</v>
      </c>
      <c r="L69" s="17">
        <v>0</v>
      </c>
      <c r="M69" s="18">
        <f>L69+I69+J69+H69+G69</f>
        <v>0</v>
      </c>
      <c r="N69" s="31">
        <f>(VLOOKUP(B69,[2]Sheet1!$B$16:$N$74,13,0))+0</f>
        <v>0</v>
      </c>
      <c r="O69" s="34">
        <f>N69/$N$78</f>
        <v>0</v>
      </c>
      <c r="P69" s="36"/>
    </row>
    <row r="70" spans="1:17" x14ac:dyDescent="0.25">
      <c r="A70" s="12">
        <v>54</v>
      </c>
      <c r="B70" s="13" t="s">
        <v>71</v>
      </c>
      <c r="C70" s="14" t="s">
        <v>72</v>
      </c>
      <c r="D70" s="15" t="s">
        <v>14</v>
      </c>
      <c r="E70" s="16" t="s">
        <v>14</v>
      </c>
      <c r="F70" s="16"/>
      <c r="G70" s="17">
        <f>VLOOKUP(B70,[1]Brokers!$B$9:$H$69,7,0)</f>
        <v>0</v>
      </c>
      <c r="H70" s="17">
        <f>VLOOKUP(B70,[1]Brokers!$B$9:$X$69,23,0)</f>
        <v>0</v>
      </c>
      <c r="I70" s="40">
        <f>VLOOKUP(B70,[1]Brokers!$B$9:$R$69,17,0)</f>
        <v>0</v>
      </c>
      <c r="J70" s="17">
        <f>VLOOKUP(B70,[1]Brokers!$B$9:$M$69,12,0)</f>
        <v>0</v>
      </c>
      <c r="K70" s="17">
        <v>0</v>
      </c>
      <c r="L70" s="17">
        <v>0</v>
      </c>
      <c r="M70" s="18">
        <f>L70+I70+J70+H70+G70</f>
        <v>0</v>
      </c>
      <c r="N70" s="31">
        <f>(VLOOKUP(B70,[2]Sheet1!$B$16:$N$74,13,0))+0</f>
        <v>0</v>
      </c>
      <c r="O70" s="34">
        <f>N70/$N$78</f>
        <v>0</v>
      </c>
      <c r="P70" s="36"/>
    </row>
    <row r="71" spans="1:17" x14ac:dyDescent="0.25">
      <c r="A71" s="12">
        <v>55</v>
      </c>
      <c r="B71" s="13" t="s">
        <v>92</v>
      </c>
      <c r="C71" s="14" t="s">
        <v>93</v>
      </c>
      <c r="D71" s="15" t="s">
        <v>14</v>
      </c>
      <c r="E71" s="16" t="s">
        <v>14</v>
      </c>
      <c r="F71" s="16" t="s">
        <v>14</v>
      </c>
      <c r="G71" s="17">
        <f>VLOOKUP(B71,[1]Brokers!$B$9:$H$69,7,0)</f>
        <v>0</v>
      </c>
      <c r="H71" s="17">
        <f>VLOOKUP(B71,[1]Brokers!$B$9:$X$69,23,0)</f>
        <v>0</v>
      </c>
      <c r="I71" s="40">
        <f>VLOOKUP(B71,[1]Brokers!$B$9:$R$69,17,0)</f>
        <v>0</v>
      </c>
      <c r="J71" s="17">
        <f>VLOOKUP(B71,[1]Brokers!$B$9:$M$69,12,0)</f>
        <v>0</v>
      </c>
      <c r="K71" s="17">
        <v>0</v>
      </c>
      <c r="L71" s="17">
        <v>0</v>
      </c>
      <c r="M71" s="18">
        <f>L71+I71+J71+H71+G71</f>
        <v>0</v>
      </c>
      <c r="N71" s="31">
        <f>(VLOOKUP(B71,[2]Sheet1!$B$16:$N$74,13,0))+0</f>
        <v>0</v>
      </c>
      <c r="O71" s="34">
        <f>N71/$N$78</f>
        <v>0</v>
      </c>
      <c r="P71" s="36"/>
    </row>
    <row r="72" spans="1:17" x14ac:dyDescent="0.25">
      <c r="A72" s="12">
        <v>56</v>
      </c>
      <c r="B72" s="13" t="s">
        <v>98</v>
      </c>
      <c r="C72" s="14" t="s">
        <v>99</v>
      </c>
      <c r="D72" s="15" t="s">
        <v>14</v>
      </c>
      <c r="E72" s="16" t="s">
        <v>14</v>
      </c>
      <c r="F72" s="16" t="s">
        <v>14</v>
      </c>
      <c r="G72" s="17">
        <f>VLOOKUP(B72,[1]Brokers!$B$9:$H$69,7,0)</f>
        <v>0</v>
      </c>
      <c r="H72" s="17">
        <f>VLOOKUP(B72,[1]Brokers!$B$9:$X$69,23,0)</f>
        <v>0</v>
      </c>
      <c r="I72" s="40">
        <f>VLOOKUP(B72,[1]Brokers!$B$9:$R$69,17,0)</f>
        <v>0</v>
      </c>
      <c r="J72" s="17">
        <f>VLOOKUP(B72,[1]Brokers!$B$9:$M$69,12,0)</f>
        <v>0</v>
      </c>
      <c r="K72" s="17">
        <v>0</v>
      </c>
      <c r="L72" s="17">
        <v>0</v>
      </c>
      <c r="M72" s="18">
        <f>L72+I72+J72+H72+G72</f>
        <v>0</v>
      </c>
      <c r="N72" s="31">
        <f>(VLOOKUP(B72,[2]Sheet1!$B$16:$N$74,13,0))+0</f>
        <v>0</v>
      </c>
      <c r="O72" s="34">
        <f>N72/$N$78</f>
        <v>0</v>
      </c>
      <c r="P72" s="36"/>
    </row>
    <row r="73" spans="1:17" x14ac:dyDescent="0.25">
      <c r="A73" s="12">
        <v>57</v>
      </c>
      <c r="B73" s="13" t="s">
        <v>102</v>
      </c>
      <c r="C73" s="14" t="s">
        <v>103</v>
      </c>
      <c r="D73" s="15" t="s">
        <v>14</v>
      </c>
      <c r="E73" s="16"/>
      <c r="F73" s="16"/>
      <c r="G73" s="17">
        <f>VLOOKUP(B73,[1]Brokers!$B$9:$H$69,7,0)</f>
        <v>0</v>
      </c>
      <c r="H73" s="17">
        <f>VLOOKUP(B73,[1]Brokers!$B$9:$X$69,23,0)</f>
        <v>0</v>
      </c>
      <c r="I73" s="40">
        <f>VLOOKUP(B73,[1]Brokers!$B$9:$R$69,17,0)</f>
        <v>0</v>
      </c>
      <c r="J73" s="17">
        <f>VLOOKUP(B73,[1]Brokers!$B$9:$M$69,12,0)</f>
        <v>0</v>
      </c>
      <c r="K73" s="17">
        <v>0</v>
      </c>
      <c r="L73" s="17">
        <v>0</v>
      </c>
      <c r="M73" s="18">
        <f>L73+I73+J73+H73+G73</f>
        <v>0</v>
      </c>
      <c r="N73" s="31">
        <f>(VLOOKUP(B73,[2]Sheet1!$B$16:$N$74,13,0))+0</f>
        <v>0</v>
      </c>
      <c r="O73" s="34">
        <f>N73/$N$78</f>
        <v>0</v>
      </c>
      <c r="P73" s="36"/>
    </row>
    <row r="74" spans="1:17" x14ac:dyDescent="0.25">
      <c r="A74" s="12">
        <v>58</v>
      </c>
      <c r="B74" s="13" t="s">
        <v>104</v>
      </c>
      <c r="C74" s="14" t="s">
        <v>105</v>
      </c>
      <c r="D74" s="15" t="s">
        <v>14</v>
      </c>
      <c r="E74" s="16"/>
      <c r="F74" s="16"/>
      <c r="G74" s="17">
        <f>VLOOKUP(B74,[1]Brokers!$B$9:$H$69,7,0)</f>
        <v>0</v>
      </c>
      <c r="H74" s="17">
        <f>VLOOKUP(B74,[1]Brokers!$B$9:$X$69,23,0)</f>
        <v>0</v>
      </c>
      <c r="I74" s="40">
        <f>VLOOKUP(B74,[1]Brokers!$B$9:$R$69,17,0)</f>
        <v>0</v>
      </c>
      <c r="J74" s="17">
        <f>VLOOKUP(B74,[1]Brokers!$B$9:$M$69,12,0)</f>
        <v>0</v>
      </c>
      <c r="K74" s="17">
        <v>0</v>
      </c>
      <c r="L74" s="17">
        <v>0</v>
      </c>
      <c r="M74" s="18">
        <f>L74+I74+J74+H74+G74</f>
        <v>0</v>
      </c>
      <c r="N74" s="31">
        <f>(VLOOKUP(B74,[2]Sheet1!$B$16:$N$74,13,0))+0</f>
        <v>0</v>
      </c>
      <c r="O74" s="34">
        <f>N74/$N$78</f>
        <v>0</v>
      </c>
      <c r="P74" s="36"/>
      <c r="Q74" s="21"/>
    </row>
    <row r="75" spans="1:17" x14ac:dyDescent="0.25">
      <c r="A75" s="12">
        <v>59</v>
      </c>
      <c r="B75" s="13" t="s">
        <v>124</v>
      </c>
      <c r="C75" s="14" t="s">
        <v>125</v>
      </c>
      <c r="D75" s="15" t="s">
        <v>14</v>
      </c>
      <c r="E75" s="16"/>
      <c r="F75" s="16"/>
      <c r="G75" s="17">
        <f>VLOOKUP(B75,[1]Brokers!$B$9:$H$69,7,0)</f>
        <v>0</v>
      </c>
      <c r="H75" s="17">
        <f>VLOOKUP(B75,[1]Brokers!$B$9:$X$69,23,0)</f>
        <v>0</v>
      </c>
      <c r="I75" s="40">
        <f>VLOOKUP(B75,[1]Brokers!$B$9:$R$69,17,0)</f>
        <v>0</v>
      </c>
      <c r="J75" s="17">
        <f>VLOOKUP(B75,[1]Brokers!$B$9:$M$69,12,0)</f>
        <v>0</v>
      </c>
      <c r="K75" s="17">
        <v>0</v>
      </c>
      <c r="L75" s="17">
        <v>0</v>
      </c>
      <c r="M75" s="18">
        <f>L75+I75+J75+H75+G75</f>
        <v>0</v>
      </c>
      <c r="N75" s="31">
        <f>(VLOOKUP(B75,[2]Sheet1!$B$16:$N$74,13,0))+0</f>
        <v>0</v>
      </c>
      <c r="O75" s="34">
        <f>N75/$N$78</f>
        <v>0</v>
      </c>
      <c r="P75" s="36"/>
      <c r="Q75" s="21"/>
    </row>
    <row r="76" spans="1:17" x14ac:dyDescent="0.25">
      <c r="A76" s="12">
        <v>60</v>
      </c>
      <c r="B76" s="37" t="s">
        <v>126</v>
      </c>
      <c r="C76" s="38" t="s">
        <v>127</v>
      </c>
      <c r="D76" s="15" t="s">
        <v>14</v>
      </c>
      <c r="E76" s="39"/>
      <c r="F76" s="39"/>
      <c r="G76" s="17">
        <f>VLOOKUP(B76,[1]Brokers!$B$9:$H$69,7,0)</f>
        <v>0</v>
      </c>
      <c r="H76" s="17">
        <f>VLOOKUP(B76,[1]Brokers!$B$9:$X$69,23,0)</f>
        <v>0</v>
      </c>
      <c r="I76" s="40">
        <f>VLOOKUP(B76,[1]Brokers!$B$9:$R$69,17,0)</f>
        <v>0</v>
      </c>
      <c r="J76" s="17">
        <f>VLOOKUP(B76,[1]Brokers!$B$9:$M$69,12,0)</f>
        <v>0</v>
      </c>
      <c r="K76" s="17">
        <v>0</v>
      </c>
      <c r="L76" s="17">
        <v>0</v>
      </c>
      <c r="M76" s="18">
        <f>L76+I76+J76+H76+G76</f>
        <v>0</v>
      </c>
      <c r="N76" s="31">
        <f>(VLOOKUP(B76,[2]Sheet1!$B$16:$N$74,13,0))+0</f>
        <v>0</v>
      </c>
      <c r="O76" s="34">
        <f>N76/$N$78</f>
        <v>0</v>
      </c>
      <c r="P76" s="36"/>
      <c r="Q76" s="21"/>
    </row>
    <row r="77" spans="1:17" x14ac:dyDescent="0.25">
      <c r="A77" s="12">
        <v>61</v>
      </c>
      <c r="B77" s="37" t="s">
        <v>140</v>
      </c>
      <c r="C77" s="38" t="s">
        <v>142</v>
      </c>
      <c r="D77" s="15" t="s">
        <v>14</v>
      </c>
      <c r="E77" s="15" t="s">
        <v>14</v>
      </c>
      <c r="F77" s="15" t="s">
        <v>14</v>
      </c>
      <c r="G77" s="17">
        <f>VLOOKUP(B77,[1]Brokers!$B$9:$H$69,7,0)</f>
        <v>0</v>
      </c>
      <c r="H77" s="17">
        <f>VLOOKUP(B77,[1]Brokers!$B$9:$X$69,23,0)</f>
        <v>0</v>
      </c>
      <c r="I77" s="40">
        <f>VLOOKUP(B77,[1]Brokers!$B$9:$R$69,17,0)</f>
        <v>0</v>
      </c>
      <c r="J77" s="17">
        <f>VLOOKUP(B77,[1]Brokers!$B$9:$M$69,12,0)</f>
        <v>0</v>
      </c>
      <c r="K77" s="17">
        <v>0</v>
      </c>
      <c r="L77" s="17">
        <v>0</v>
      </c>
      <c r="M77" s="18">
        <f>L77+I77+J77+H77+G77</f>
        <v>0</v>
      </c>
      <c r="N77" s="31">
        <v>0</v>
      </c>
      <c r="O77" s="34">
        <f>N77/$N$78</f>
        <v>0</v>
      </c>
      <c r="P77" s="36"/>
      <c r="Q77" s="21"/>
    </row>
    <row r="78" spans="1:17" ht="16.5" thickBot="1" x14ac:dyDescent="0.3">
      <c r="A78" s="71" t="s">
        <v>6</v>
      </c>
      <c r="B78" s="72"/>
      <c r="C78" s="73"/>
      <c r="D78" s="22">
        <f>COUNTA(D17:D77)</f>
        <v>55</v>
      </c>
      <c r="E78" s="22">
        <f>COUNTA(E17:E77)</f>
        <v>24</v>
      </c>
      <c r="F78" s="22">
        <f>COUNTA(F17:F77)</f>
        <v>14</v>
      </c>
      <c r="G78" s="23">
        <f t="shared" ref="G78:O78" si="0">SUM(G17:G77)</f>
        <v>7033623131.6999989</v>
      </c>
      <c r="H78" s="23">
        <f t="shared" si="0"/>
        <v>1761197040</v>
      </c>
      <c r="I78" s="23">
        <f t="shared" si="0"/>
        <v>0</v>
      </c>
      <c r="J78" s="23">
        <f t="shared" si="0"/>
        <v>2040000000</v>
      </c>
      <c r="K78" s="23">
        <f t="shared" si="0"/>
        <v>0</v>
      </c>
      <c r="L78" s="23">
        <f t="shared" si="0"/>
        <v>0</v>
      </c>
      <c r="M78" s="23">
        <f t="shared" si="0"/>
        <v>10834820171.699997</v>
      </c>
      <c r="N78" s="32">
        <f>SUM(N17:N77)</f>
        <v>241014022136.16</v>
      </c>
      <c r="O78" s="33">
        <f t="shared" si="0"/>
        <v>1</v>
      </c>
      <c r="P78" s="24"/>
      <c r="Q78" s="21"/>
    </row>
    <row r="79" spans="1:17" x14ac:dyDescent="0.25">
      <c r="L79" s="25"/>
      <c r="M79" s="26"/>
      <c r="O79" s="25"/>
      <c r="P79" s="24"/>
      <c r="Q79" s="21"/>
    </row>
    <row r="80" spans="1:17" ht="27.6" customHeight="1" x14ac:dyDescent="0.25">
      <c r="B80" s="60" t="s">
        <v>128</v>
      </c>
      <c r="C80" s="60"/>
      <c r="D80" s="60"/>
      <c r="E80" s="60"/>
      <c r="F80" s="60"/>
      <c r="H80" s="27"/>
      <c r="I80" s="27"/>
      <c r="L80" s="25"/>
      <c r="M80" s="25"/>
      <c r="P80" s="24"/>
      <c r="Q80" s="21"/>
    </row>
    <row r="81" spans="7:17" ht="27.6" customHeight="1" x14ac:dyDescent="0.25">
      <c r="G81" s="1"/>
      <c r="H81" s="1"/>
      <c r="I81" s="1"/>
      <c r="P81" s="24"/>
      <c r="Q81" s="21"/>
    </row>
    <row r="82" spans="7:17" x14ac:dyDescent="0.25">
      <c r="P82" s="24"/>
      <c r="Q82" s="21"/>
    </row>
    <row r="83" spans="7:17" x14ac:dyDescent="0.25">
      <c r="P83" s="24"/>
      <c r="Q83" s="21"/>
    </row>
  </sheetData>
  <sortState ref="B17:O77">
    <sortCondition descending="1" ref="O77"/>
  </sortState>
  <mergeCells count="16">
    <mergeCell ref="B80:F80"/>
    <mergeCell ref="R18:U18"/>
    <mergeCell ref="M14:M15"/>
    <mergeCell ref="G14:I14"/>
    <mergeCell ref="J14:L14"/>
    <mergeCell ref="N14:N15"/>
    <mergeCell ref="O14:O15"/>
    <mergeCell ref="A78:C78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5" x14ac:dyDescent="0.25"/>
  <sheetData/>
  <sortState ref="A1:O59">
    <sortCondition descending="1" ref="N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2019-01-30T06:27:10Z</cp:lastPrinted>
  <dcterms:created xsi:type="dcterms:W3CDTF">2017-06-09T07:51:20Z</dcterms:created>
  <dcterms:modified xsi:type="dcterms:W3CDTF">2019-01-30T06:27:20Z</dcterms:modified>
</cp:coreProperties>
</file>