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D:\ajil\2023\"/>
    </mc:Choice>
  </mc:AlternateContent>
  <xr:revisionPtr revIDLastSave="0" documentId="13_ncr:1_{0250262B-F78A-4311-BE13-86E87BD7BD9B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ААН" sheetId="1" r:id="rId1"/>
    <sheet name="Даатгал" sheetId="2" r:id="rId2"/>
    <sheet name="ҮЦК" sheetId="3" r:id="rId3"/>
    <sheet name="ББСБ" sheetId="4" r:id="rId4"/>
    <sheet name="Банк" sheetId="5" r:id="rId5"/>
  </sheets>
  <definedNames>
    <definedName name="_xlnm._FilterDatabase" localSheetId="0" hidden="1">ААН!$A$4:$V$4</definedName>
    <definedName name="_xlnm._FilterDatabase" localSheetId="3" hidden="1">ББСБ!$A$2:$V$2</definedName>
    <definedName name="_xlnm._FilterDatabase" localSheetId="1" hidden="1">Даатгал!$A$4:$V$4</definedName>
    <definedName name="_xlnm._FilterDatabase" localSheetId="2" hidden="1">ҮЦК!$A$2:$V$2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3" i="1" l="1"/>
  <c r="A144" i="1" s="1"/>
  <c r="A145" i="1" s="1"/>
  <c r="A146" i="1" s="1"/>
  <c r="A147" i="1" s="1"/>
  <c r="A148" i="1" s="1"/>
  <c r="U87" i="1"/>
  <c r="U74" i="1"/>
  <c r="U83" i="1"/>
  <c r="U57" i="1"/>
  <c r="U132" i="1"/>
  <c r="U121" i="1"/>
  <c r="U148" i="1" l="1"/>
  <c r="N7" i="5" l="1"/>
  <c r="U95" i="1" l="1"/>
  <c r="U8" i="1"/>
  <c r="U82" i="1"/>
  <c r="U45" i="1"/>
  <c r="Q8" i="2" l="1"/>
  <c r="O8" i="2"/>
  <c r="P6" i="2"/>
  <c r="O6" i="2"/>
  <c r="O5" i="2"/>
  <c r="P5" i="2"/>
  <c r="N5" i="2" l="1"/>
  <c r="M5" i="2"/>
  <c r="L5" i="2"/>
  <c r="K5" i="2"/>
  <c r="J5" i="2"/>
  <c r="I5" i="2"/>
  <c r="H5" i="2"/>
  <c r="G5" i="2"/>
  <c r="F5" i="2"/>
  <c r="E5" i="2"/>
  <c r="N8" i="2"/>
  <c r="M8" i="2"/>
  <c r="L8" i="2"/>
  <c r="K8" i="2"/>
  <c r="J8" i="2"/>
  <c r="I8" i="2"/>
  <c r="H8" i="2"/>
  <c r="G8" i="2"/>
  <c r="F8" i="2"/>
  <c r="E8" i="2"/>
  <c r="R144" i="1" l="1"/>
  <c r="Q144" i="1"/>
  <c r="P144" i="1"/>
  <c r="N144" i="1"/>
  <c r="J144" i="1"/>
  <c r="G144" i="1"/>
  <c r="K144" i="1" l="1"/>
  <c r="U144" i="1" s="1"/>
  <c r="U66" i="1"/>
  <c r="U42" i="1"/>
  <c r="U7" i="1"/>
  <c r="U89" i="1"/>
  <c r="U114" i="1"/>
  <c r="U105" i="1"/>
  <c r="U62" i="1"/>
  <c r="U120" i="1"/>
  <c r="U50" i="1"/>
  <c r="U106" i="1"/>
  <c r="U139" i="1"/>
  <c r="U16" i="1"/>
  <c r="Q3" i="4" l="1"/>
  <c r="O3" i="4"/>
  <c r="P3" i="4"/>
  <c r="P5" i="4"/>
  <c r="M5" i="4"/>
  <c r="U97" i="1"/>
  <c r="U6" i="1"/>
  <c r="U110" i="1"/>
  <c r="U63" i="1"/>
  <c r="U49" i="1"/>
  <c r="U134" i="1"/>
  <c r="U88" i="1"/>
  <c r="U31" i="1" l="1"/>
  <c r="U119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U20" i="1"/>
  <c r="U40" i="1"/>
  <c r="U11" i="1"/>
  <c r="U75" i="1"/>
  <c r="U36" i="1"/>
  <c r="U128" i="1"/>
  <c r="U59" i="1"/>
  <c r="U96" i="1" l="1"/>
  <c r="U108" i="1" l="1"/>
  <c r="U127" i="1"/>
  <c r="U69" i="1"/>
  <c r="U33" i="1" l="1"/>
  <c r="U93" i="1"/>
  <c r="U56" i="1"/>
  <c r="U34" i="1"/>
  <c r="U136" i="1"/>
  <c r="U137" i="1"/>
  <c r="U44" i="1"/>
  <c r="U32" i="1"/>
  <c r="U22" i="1"/>
  <c r="U92" i="1"/>
  <c r="U10" i="1"/>
  <c r="U123" i="1"/>
  <c r="U130" i="1"/>
  <c r="U41" i="1"/>
  <c r="U109" i="1"/>
  <c r="U111" i="1"/>
  <c r="U12" i="1"/>
  <c r="U39" i="1"/>
  <c r="U9" i="1"/>
  <c r="U115" i="1"/>
  <c r="U81" i="1"/>
  <c r="U35" i="1"/>
  <c r="U70" i="1"/>
  <c r="U143" i="1"/>
  <c r="U46" i="1"/>
  <c r="U25" i="1"/>
  <c r="U145" i="1"/>
  <c r="U55" i="1"/>
  <c r="U61" i="1"/>
  <c r="U17" i="1"/>
  <c r="U68" i="1"/>
  <c r="U80" i="1"/>
  <c r="U129" i="1"/>
  <c r="U84" i="1"/>
  <c r="U15" i="1"/>
  <c r="U100" i="1"/>
  <c r="U135" i="1"/>
  <c r="U73" i="1"/>
  <c r="U91" i="1"/>
  <c r="U113" i="1"/>
  <c r="U103" i="1"/>
  <c r="U147" i="1"/>
  <c r="U79" i="1"/>
  <c r="U23" i="1"/>
  <c r="U52" i="1"/>
  <c r="U60" i="1"/>
  <c r="U28" i="1"/>
  <c r="U26" i="1"/>
  <c r="U29" i="1"/>
  <c r="U37" i="1"/>
  <c r="U116" i="1"/>
  <c r="U126" i="1"/>
  <c r="U72" i="1"/>
  <c r="U24" i="1"/>
  <c r="U102" i="1"/>
  <c r="U54" i="1"/>
  <c r="U51" i="1"/>
  <c r="U117" i="1"/>
  <c r="U30" i="1"/>
  <c r="U94" i="1"/>
  <c r="U98" i="1"/>
  <c r="U71" i="1"/>
  <c r="U122" i="1"/>
  <c r="U43" i="1"/>
  <c r="U14" i="1"/>
  <c r="U67" i="1"/>
  <c r="U90" i="1"/>
  <c r="U27" i="1"/>
  <c r="U99" i="1"/>
  <c r="U124" i="1"/>
  <c r="U104" i="1"/>
  <c r="U47" i="1"/>
  <c r="U107" i="1"/>
  <c r="U141" i="1"/>
  <c r="U64" i="1"/>
  <c r="U65" i="1"/>
  <c r="U133" i="1"/>
  <c r="U138" i="1"/>
  <c r="U58" i="1"/>
  <c r="U48" i="1"/>
  <c r="U131" i="1"/>
  <c r="U142" i="1"/>
  <c r="U53" i="1"/>
  <c r="U78" i="1"/>
  <c r="U118" i="1"/>
  <c r="U140" i="1"/>
  <c r="U125" i="1"/>
  <c r="U85" i="1"/>
  <c r="U19" i="1"/>
  <c r="U18" i="1"/>
  <c r="U146" i="1"/>
  <c r="U86" i="1"/>
  <c r="U101" i="1"/>
  <c r="U21" i="1"/>
  <c r="U77" i="1"/>
  <c r="U5" i="1"/>
  <c r="U13" i="1"/>
  <c r="U76" i="1"/>
  <c r="U38" i="1"/>
  <c r="U112" i="1"/>
  <c r="N4" i="4" l="1"/>
  <c r="N5" i="4"/>
  <c r="N6" i="4"/>
  <c r="N3" i="4"/>
  <c r="J4" i="4"/>
  <c r="J5" i="4"/>
  <c r="J6" i="4"/>
  <c r="J3" i="4"/>
  <c r="G4" i="4"/>
  <c r="G5" i="4"/>
  <c r="G6" i="4"/>
  <c r="G3" i="4"/>
  <c r="N3" i="3"/>
  <c r="J3" i="3"/>
  <c r="G3" i="3"/>
  <c r="K3" i="3" s="1"/>
  <c r="A4" i="3"/>
  <c r="A5" i="3" s="1"/>
  <c r="A6" i="3" s="1"/>
  <c r="A7" i="3" s="1"/>
  <c r="N4" i="3"/>
  <c r="N6" i="3"/>
  <c r="N5" i="3"/>
  <c r="N7" i="3"/>
  <c r="J4" i="3"/>
  <c r="J6" i="3"/>
  <c r="J5" i="3"/>
  <c r="J7" i="3"/>
  <c r="G4" i="3"/>
  <c r="G6" i="3"/>
  <c r="G5" i="3"/>
  <c r="K5" i="3" s="1"/>
  <c r="G7" i="3"/>
  <c r="K7" i="3" s="1"/>
  <c r="K5" i="4" l="1"/>
  <c r="K3" i="4"/>
  <c r="K6" i="4"/>
  <c r="K4" i="4"/>
  <c r="U3" i="3"/>
  <c r="K6" i="3"/>
  <c r="K4" i="3"/>
  <c r="N6" i="2" l="1"/>
  <c r="N7" i="2"/>
  <c r="U7" i="2"/>
  <c r="U3" i="4" l="1"/>
  <c r="U5" i="4" l="1"/>
  <c r="U6" i="4"/>
  <c r="U4" i="4"/>
  <c r="U6" i="3"/>
  <c r="U4" i="3"/>
  <c r="U5" i="3"/>
  <c r="U7" i="3"/>
  <c r="U6" i="2" l="1"/>
  <c r="U5" i="2" l="1"/>
</calcChain>
</file>

<file path=xl/sharedStrings.xml><?xml version="1.0" encoding="utf-8"?>
<sst xmlns="http://schemas.openxmlformats.org/spreadsheetml/2006/main" count="450" uniqueCount="350">
  <si>
    <t>МХБ-д бүртгэлтэй хувьцаат компаниудын 2021 оны жилийн эцсийн санхүүгийн тайлангийн хураангуй үзүүлэлт.</t>
  </si>
  <si>
    <t>БАЛАНСЫН  ҮЗҮҮЛЭЛТ /мянган төгрөгөөр/</t>
  </si>
  <si>
    <t>ОРЛОГЫН ТАЙЛАНГИЙН ҮЗҮҮЛЭЛТ/мянган төгрөгөөр/</t>
  </si>
  <si>
    <t xml:space="preserve">Хувьцаа </t>
  </si>
  <si>
    <t>№</t>
  </si>
  <si>
    <t>Компанийн нэр</t>
  </si>
  <si>
    <t>Код</t>
  </si>
  <si>
    <t>Нэрийн код</t>
  </si>
  <si>
    <t>Эргэлтийн хөрөнгийн дүн</t>
  </si>
  <si>
    <t>Эргэлтийн бус хөрөнгийн дүн</t>
  </si>
  <si>
    <t>Нийт хөрөнгийн дүн</t>
  </si>
  <si>
    <t>Богино хугацаат өр төлбөрийн дүн</t>
  </si>
  <si>
    <t xml:space="preserve">Урт хугацаат өр төлбөрийн дүн </t>
  </si>
  <si>
    <t>Өр төлбөрийн нийт дүн</t>
  </si>
  <si>
    <t>Эздийн өмчийн дүн</t>
  </si>
  <si>
    <t>Борлуулалтын орлого</t>
  </si>
  <si>
    <t>Борлуулалтын өртөг</t>
  </si>
  <si>
    <t>Нийт ашиг ( алдагдал)</t>
  </si>
  <si>
    <t>Бусад орлого, эрхийн шимтгэл, хүү, түрээс, ногдол ашгийн орлого</t>
  </si>
  <si>
    <t xml:space="preserve">Зардлын дүн </t>
  </si>
  <si>
    <t xml:space="preserve">Олз гарз </t>
  </si>
  <si>
    <t>Бусад ашиг алдагдал</t>
  </si>
  <si>
    <t>Орлогын татварын зардал</t>
  </si>
  <si>
    <t>Тайлант үеийн цэвэр ашиг ( алдагдал)</t>
  </si>
  <si>
    <t>Хувьцааны дансны үнэ /төгрөгөөр/</t>
  </si>
  <si>
    <t>Хувьцааны тоо ширхэг</t>
  </si>
  <si>
    <t>NOG</t>
  </si>
  <si>
    <t>ITLS</t>
  </si>
  <si>
    <t>ALA</t>
  </si>
  <si>
    <t>AZH</t>
  </si>
  <si>
    <t>ABH</t>
  </si>
  <si>
    <t>EER</t>
  </si>
  <si>
    <t>CND</t>
  </si>
  <si>
    <t>ATR</t>
  </si>
  <si>
    <t>AAR</t>
  </si>
  <si>
    <t>ALD</t>
  </si>
  <si>
    <t>BAN</t>
  </si>
  <si>
    <t>BNG</t>
  </si>
  <si>
    <t>BTG</t>
  </si>
  <si>
    <t>BOR</t>
  </si>
  <si>
    <t>BLC</t>
  </si>
  <si>
    <t>BZO</t>
  </si>
  <si>
    <t>DAR</t>
  </si>
  <si>
    <t>DAH</t>
  </si>
  <si>
    <t>DHU</t>
  </si>
  <si>
    <t>DAS</t>
  </si>
  <si>
    <t>DDS</t>
  </si>
  <si>
    <t>DTU</t>
  </si>
  <si>
    <t>DSS</t>
  </si>
  <si>
    <t>DUS</t>
  </si>
  <si>
    <t>DZG</t>
  </si>
  <si>
    <t>DES</t>
  </si>
  <si>
    <t>DGS</t>
  </si>
  <si>
    <t>DSH</t>
  </si>
  <si>
    <t>DLH</t>
  </si>
  <si>
    <t>EDS</t>
  </si>
  <si>
    <t>TAS</t>
  </si>
  <si>
    <t>EUD</t>
  </si>
  <si>
    <t>BAJ</t>
  </si>
  <si>
    <t>JGL</t>
  </si>
  <si>
    <t>GTL</t>
  </si>
  <si>
    <t>HBO</t>
  </si>
  <si>
    <t>HHN</t>
  </si>
  <si>
    <t>HSR</t>
  </si>
  <si>
    <t>HRL</t>
  </si>
  <si>
    <t>HRM</t>
  </si>
  <si>
    <t>SDT</t>
  </si>
  <si>
    <t>HSG</t>
  </si>
  <si>
    <t>HUV</t>
  </si>
  <si>
    <t>HHS</t>
  </si>
  <si>
    <t>HUZ</t>
  </si>
  <si>
    <t>HRD</t>
  </si>
  <si>
    <t>IBA</t>
  </si>
  <si>
    <t>JTB</t>
  </si>
  <si>
    <t>SUL</t>
  </si>
  <si>
    <t>MMX</t>
  </si>
  <si>
    <t>MIK</t>
  </si>
  <si>
    <t>BDL</t>
  </si>
  <si>
    <t>MOG</t>
  </si>
  <si>
    <t>ERS</t>
  </si>
  <si>
    <t>MBW</t>
  </si>
  <si>
    <t>HAM</t>
  </si>
  <si>
    <t>Монголын хөрөнгийн бирж</t>
  </si>
  <si>
    <t>MTZ</t>
  </si>
  <si>
    <t>KEK</t>
  </si>
  <si>
    <t>UYN</t>
  </si>
  <si>
    <t>MSH</t>
  </si>
  <si>
    <t>MIB</t>
  </si>
  <si>
    <t>MBG</t>
  </si>
  <si>
    <t>MNB</t>
  </si>
  <si>
    <t>MFC</t>
  </si>
  <si>
    <t>JLT</t>
  </si>
  <si>
    <t>TGS</t>
  </si>
  <si>
    <t>ORD</t>
  </si>
  <si>
    <t>RMC</t>
  </si>
  <si>
    <t>SES</t>
  </si>
  <si>
    <t>SHG</t>
  </si>
  <si>
    <t>NRS</t>
  </si>
  <si>
    <t>SHV</t>
  </si>
  <si>
    <t>SIL</t>
  </si>
  <si>
    <t>SSG</t>
  </si>
  <si>
    <t>SOH</t>
  </si>
  <si>
    <t>ALI</t>
  </si>
  <si>
    <t>TAH</t>
  </si>
  <si>
    <t>TCK</t>
  </si>
  <si>
    <t>TAL</t>
  </si>
  <si>
    <t>TVL</t>
  </si>
  <si>
    <t>TEE</t>
  </si>
  <si>
    <t>TEX</t>
  </si>
  <si>
    <t>HCH</t>
  </si>
  <si>
    <t>TMZ</t>
  </si>
  <si>
    <t>TUM</t>
  </si>
  <si>
    <t>TUS</t>
  </si>
  <si>
    <t>UDS</t>
  </si>
  <si>
    <t>UTS</t>
  </si>
  <si>
    <t>UID</t>
  </si>
  <si>
    <t>ONH</t>
  </si>
  <si>
    <t>CHR</t>
  </si>
  <si>
    <t>HUN</t>
  </si>
  <si>
    <t>Ард даатгал</t>
  </si>
  <si>
    <t>Мандал даатгал</t>
  </si>
  <si>
    <t>Монгол даатгал</t>
  </si>
  <si>
    <t>Бодь даатгал</t>
  </si>
  <si>
    <t>Би Ди Сек</t>
  </si>
  <si>
    <t>Блюскай секьюритиз</t>
  </si>
  <si>
    <t>Евразиа капитал холдинг</t>
  </si>
  <si>
    <t>Монгол секьюритиз</t>
  </si>
  <si>
    <t>Лэндмн</t>
  </si>
  <si>
    <t>Тандэм инвест</t>
  </si>
  <si>
    <t>AIC</t>
  </si>
  <si>
    <t>BODI</t>
  </si>
  <si>
    <t>MNDL</t>
  </si>
  <si>
    <t>MDIC</t>
  </si>
  <si>
    <t>BDS</t>
  </si>
  <si>
    <t>BSKY</t>
  </si>
  <si>
    <t>SUN</t>
  </si>
  <si>
    <t>MSC</t>
  </si>
  <si>
    <t>LEND</t>
  </si>
  <si>
    <t>VIK</t>
  </si>
  <si>
    <t>Богд банк</t>
  </si>
  <si>
    <t>BOGD</t>
  </si>
  <si>
    <t>NEH</t>
  </si>
  <si>
    <t xml:space="preserve">Инвескор </t>
  </si>
  <si>
    <t>INVC</t>
  </si>
  <si>
    <t>APU</t>
  </si>
  <si>
    <t>CUMN</t>
  </si>
  <si>
    <t>Ард кредит</t>
  </si>
  <si>
    <t>MSE</t>
  </si>
  <si>
    <t>Тайлант үеийн цэвэр ашиг (алдагдал)</t>
  </si>
  <si>
    <t>Төрийн банк</t>
  </si>
  <si>
    <t>Голомт банк</t>
  </si>
  <si>
    <t>GLMT</t>
  </si>
  <si>
    <t>SBM</t>
  </si>
  <si>
    <t>Нийт ашиг (алдагдал)</t>
  </si>
  <si>
    <t>ECV</t>
  </si>
  <si>
    <t>NKT</t>
  </si>
  <si>
    <t>BBD</t>
  </si>
  <si>
    <t>HBT</t>
  </si>
  <si>
    <t>SEND</t>
  </si>
  <si>
    <t>"АПУ" ХК</t>
  </si>
  <si>
    <t>"Техникимпорт" ХК</t>
  </si>
  <si>
    <t>"Түмэн шувуут" ХК</t>
  </si>
  <si>
    <t>"Талх чихэр" ХК</t>
  </si>
  <si>
    <t>"Алтайн зам" ХК</t>
  </si>
  <si>
    <t>"Гутал" ХК</t>
  </si>
  <si>
    <t xml:space="preserve">"Монос хүнс" ХК </t>
  </si>
  <si>
    <t>"Ремикон" ХК</t>
  </si>
  <si>
    <t>"Баянгол зочид буудал" ХК</t>
  </si>
  <si>
    <t>"Баянтээг" ХК</t>
  </si>
  <si>
    <t>"Ариг гал" ХК</t>
  </si>
  <si>
    <t>"Улаанбаатар дулааны сүлжээ" ХК</t>
  </si>
  <si>
    <t>"Монгол базальт" ХК</t>
  </si>
  <si>
    <t>"Хүрд" ХК</t>
  </si>
  <si>
    <t>"Шарын гол" ХК</t>
  </si>
  <si>
    <t>"МИК Холдинг" ХК</t>
  </si>
  <si>
    <t>"Гермес центр" ХК</t>
  </si>
  <si>
    <t>"Могойн гол" ХК</t>
  </si>
  <si>
    <t>"Махимпекс" ХК</t>
  </si>
  <si>
    <t>"Хөнгөн бетон" ХК</t>
  </si>
  <si>
    <t>"Атар-Өргөө" ХК</t>
  </si>
  <si>
    <t>"Увс хүнс" ХК</t>
  </si>
  <si>
    <t>"Улсын Их Дэлгүүр" ХК</t>
  </si>
  <si>
    <t>"Сонсголон бармат" ХК</t>
  </si>
  <si>
    <t>"Жуулчин дюти фрий" ХК</t>
  </si>
  <si>
    <t xml:space="preserve">"Ай түүлс" ХК </t>
  </si>
  <si>
    <t>"Тахь Ко" ХК</t>
  </si>
  <si>
    <t>"Тээвэр-Дархан" ХК</t>
  </si>
  <si>
    <t>"Хай Би Ойл" ХК</t>
  </si>
  <si>
    <t>"Автозам" ХК</t>
  </si>
  <si>
    <t>"Шинэст" ХК</t>
  </si>
  <si>
    <t>"Дарханы төмөрлөгийн үйлдвэр" ХК</t>
  </si>
  <si>
    <t>"Хөвсгөл геологи" ХК</t>
  </si>
  <si>
    <t>"Монгол алт" ХК</t>
  </si>
  <si>
    <t>"Дархан хүнс" ХК</t>
  </si>
  <si>
    <t>"Хөвсгөл хүнс" ХК</t>
  </si>
  <si>
    <t>"Сэндли ББСБ" ХК</t>
  </si>
  <si>
    <t>"Өндөрхаан" ХК</t>
  </si>
  <si>
    <t>"Дархан нэхий" ХК</t>
  </si>
  <si>
    <t>"Монгео" ХК</t>
  </si>
  <si>
    <t>"Сэлэнгэ-сүрэг" ХК</t>
  </si>
  <si>
    <t>"Дорнод худалдаа" ХК</t>
  </si>
  <si>
    <t>"Дархан зочид буудал" ХК</t>
  </si>
  <si>
    <t>"Говийн өндөр" ХК</t>
  </si>
  <si>
    <t>"Орхондалай" ХК</t>
  </si>
  <si>
    <t>"Силикат" ХК</t>
  </si>
  <si>
    <t>"Хасу-мандал" ХК</t>
  </si>
  <si>
    <t>"Их барилга" ХК</t>
  </si>
  <si>
    <t>"Монинжбар" ХК</t>
  </si>
  <si>
    <t>"Алтай нэгдэл" ХК</t>
  </si>
  <si>
    <t>"Ар Баянхангай" ХК</t>
  </si>
  <si>
    <t>"Дархан хөвөн" ХК</t>
  </si>
  <si>
    <t>"Монголын хөгжил үндэсний нэгдэл" ХК</t>
  </si>
  <si>
    <t>"Номин хишиг" ХК</t>
  </si>
  <si>
    <t>"Стандарт ноос" ХК</t>
  </si>
  <si>
    <t>"Нако түлш" ХК</t>
  </si>
  <si>
    <t>"Борнуур" ХК</t>
  </si>
  <si>
    <t>"Азык" ХК</t>
  </si>
  <si>
    <t>"Глобал лайф технологи" ХК</t>
  </si>
  <si>
    <t>"Монгол шилтгээн" ХК</t>
  </si>
  <si>
    <t>"Түшиг Уул" ХК</t>
  </si>
  <si>
    <t>"Увс чацаргана" ХК</t>
  </si>
  <si>
    <t>"Хот девелопмент" ХК</t>
  </si>
  <si>
    <t>"Хэрлэн хивс" ХК</t>
  </si>
  <si>
    <t>"Эрээнцав" ХК</t>
  </si>
  <si>
    <t>"Мон Наб" ХК</t>
  </si>
  <si>
    <t>"АСБИ" ХК</t>
  </si>
  <si>
    <t>"Хөвсгөл усан зам" ХК</t>
  </si>
  <si>
    <t>"Монгол керамик" ХК</t>
  </si>
  <si>
    <t>"Эрдэнэт хүнс" ХК</t>
  </si>
  <si>
    <t>"Дулаан шарын гол" ХК</t>
  </si>
  <si>
    <t>"Тавилга" ХК</t>
  </si>
  <si>
    <t>"Талын гал" ХК</t>
  </si>
  <si>
    <t>"Ачит алхабы" ХК</t>
  </si>
  <si>
    <t>"Монгол савхи" ХК</t>
  </si>
  <si>
    <t>"Хөсөг трейд" ХК</t>
  </si>
  <si>
    <t>"Дархан гурил тэжээл" ХК</t>
  </si>
  <si>
    <t>"Хархорин" ХК</t>
  </si>
  <si>
    <t>"Төмрийн завод" ХК</t>
  </si>
  <si>
    <t>"Эрдэнэт ус, дулаан түгээх сүлжээ" ХК</t>
  </si>
  <si>
    <t>"Бүтээлч Үйлс" ХК</t>
  </si>
  <si>
    <t>"Женко тур бюро" ХК</t>
  </si>
  <si>
    <t>"Ногоон хөгжил үндэсний нэгдэл" ХК</t>
  </si>
  <si>
    <t>"Тэнгэрлиг медиа групп" ХК</t>
  </si>
  <si>
    <t>"Дарханы дулааны сүлжээ" ХК</t>
  </si>
  <si>
    <t>"Дархан ус суваг" ХК</t>
  </si>
  <si>
    <t xml:space="preserve">"Булигаар" ХК </t>
  </si>
  <si>
    <t>"Улаанбаатар цахилгаан түгээх сүлжээ" ХК</t>
  </si>
  <si>
    <t>"Эрдэнэтийн дулааны цахилгаан станц" ХК</t>
  </si>
  <si>
    <t>"Дархан Сэлэнгийн цахилгаан түгээх сүлжээ" ХК</t>
  </si>
  <si>
    <t>"Багануур, зүүн өмнөт бүсийн цахилгаан түгээх сүлжээ" ХК</t>
  </si>
  <si>
    <t>"Дулааны III цахилгаан станц" ХК</t>
  </si>
  <si>
    <t>"Дарханы дулааны цахилгаан станц" ХК</t>
  </si>
  <si>
    <t>"Шивээ овоо" ХК</t>
  </si>
  <si>
    <t>"Сэнтрал Экспресс Си Ви Эс- ХК</t>
  </si>
  <si>
    <t>"Багануур" ХК</t>
  </si>
  <si>
    <t>"Монголын төмөр зам" ХК</t>
  </si>
  <si>
    <t xml:space="preserve">"Эм Эн Ди" ХК </t>
  </si>
  <si>
    <t xml:space="preserve">"Стандарт проперти групп" ХК </t>
  </si>
  <si>
    <t xml:space="preserve">"Жидакс ХК" </t>
  </si>
  <si>
    <t>GUR</t>
  </si>
  <si>
    <t>MDR</t>
  </si>
  <si>
    <t>SOR</t>
  </si>
  <si>
    <t>DMA</t>
  </si>
  <si>
    <t>ETR</t>
  </si>
  <si>
    <t>HGN</t>
  </si>
  <si>
    <t>MNH</t>
  </si>
  <si>
    <t>NXE</t>
  </si>
  <si>
    <t>SUU</t>
  </si>
  <si>
    <t>TAV</t>
  </si>
  <si>
    <t>BUK</t>
  </si>
  <si>
    <t>"Гурил Увс" ХК</t>
  </si>
  <si>
    <t>"Фронтиер Лэнд Групп" ХК</t>
  </si>
  <si>
    <t>"Сор" ХК</t>
  </si>
  <si>
    <t>"Дэвшил мандал" ХК</t>
  </si>
  <si>
    <t>"Э транс ложистикс" ХК</t>
  </si>
  <si>
    <t>"Хөх ган" ХК</t>
  </si>
  <si>
    <t>"Монгол нэхмэл" ХК</t>
  </si>
  <si>
    <t>"Нэхээсгүй Эдлэл" ХК</t>
  </si>
  <si>
    <t>"Сүү" ХК</t>
  </si>
  <si>
    <t>"Тав" ХК</t>
  </si>
  <si>
    <t>"Улаанбаатар БҮК" ХК</t>
  </si>
  <si>
    <t>ADL</t>
  </si>
  <si>
    <t>GHC</t>
  </si>
  <si>
    <t>"Адуунчулуун" ХК</t>
  </si>
  <si>
    <t>"Ганхийц" ХК</t>
  </si>
  <si>
    <t>ARJ</t>
  </si>
  <si>
    <t>DZS</t>
  </si>
  <si>
    <t>Дорнод авто зам ХХК</t>
  </si>
  <si>
    <t>DAZ</t>
  </si>
  <si>
    <t>HSX</t>
  </si>
  <si>
    <t>AHH</t>
  </si>
  <si>
    <t>TTL</t>
  </si>
  <si>
    <t>TSA</t>
  </si>
  <si>
    <t>"Арвижих" ХК</t>
  </si>
  <si>
    <t>"Даланзадгадын ДЦС" ХК</t>
  </si>
  <si>
    <t>"Хоринхоёрдугаар бааз" ХК</t>
  </si>
  <si>
    <t>"Хишиг уул" ХК</t>
  </si>
  <si>
    <t>"Цагаантолгой" ХК</t>
  </si>
  <si>
    <t>"Тавантолгой" ХК</t>
  </si>
  <si>
    <t>BRC</t>
  </si>
  <si>
    <t>BEU</t>
  </si>
  <si>
    <t>BHG</t>
  </si>
  <si>
    <t>AMT</t>
  </si>
  <si>
    <t>SVR</t>
  </si>
  <si>
    <t>JGV</t>
  </si>
  <si>
    <t>BUN</t>
  </si>
  <si>
    <t>MNG</t>
  </si>
  <si>
    <t>MNS</t>
  </si>
  <si>
    <t>HJL</t>
  </si>
  <si>
    <t>BLG</t>
  </si>
  <si>
    <t>"Барилга корпораци" ХК</t>
  </si>
  <si>
    <t>"Бэрх уул" ХК</t>
  </si>
  <si>
    <t>"Бөхөг" ХК</t>
  </si>
  <si>
    <t>"Дорнод авто зам" ХК</t>
  </si>
  <si>
    <t>"Эрдэнэс сольюшинс" ХК</t>
  </si>
  <si>
    <t>"Эрдэнэтсуврага" ХК</t>
  </si>
  <si>
    <t>"Жуулчин говь" ХК</t>
  </si>
  <si>
    <t xml:space="preserve">"Крипто үндэстэн" ХК </t>
  </si>
  <si>
    <t>"Мандалговь Импекс" ХК</t>
  </si>
  <si>
    <t>"Монноос" ХК</t>
  </si>
  <si>
    <t>"Орхон хөгжил" ХК</t>
  </si>
  <si>
    <t>"Завхан баялаг" ХК</t>
  </si>
  <si>
    <t>"Говь" ХК</t>
  </si>
  <si>
    <t>GOV</t>
  </si>
  <si>
    <t>Даатгалын цэвэр хураамжийн орлого</t>
  </si>
  <si>
    <t>TVT</t>
  </si>
  <si>
    <t>BAZ</t>
  </si>
  <si>
    <t>MIE</t>
  </si>
  <si>
    <t>GFG</t>
  </si>
  <si>
    <t>" Хар тарвагатай" ХК</t>
  </si>
  <si>
    <t>"Люкс занаду групп" ХК</t>
  </si>
  <si>
    <t>"Материал импекс" ХК</t>
  </si>
  <si>
    <t xml:space="preserve">"Силк нэт" ХК </t>
  </si>
  <si>
    <t>Монголын хөрөнгийн биржид бүртгэлтэй хувьцаат компаниудын 2022 оны жилийн эцсийн санхүүгийн тайлангийн хураангуй үзүүлэлт.</t>
  </si>
  <si>
    <t>DSD</t>
  </si>
  <si>
    <t>"Дулааны цахилгаан станц-4" ХК</t>
  </si>
  <si>
    <t>514</t>
  </si>
  <si>
    <t>AOI</t>
  </si>
  <si>
    <t>DKS</t>
  </si>
  <si>
    <t>BOE</t>
  </si>
  <si>
    <t>HVL</t>
  </si>
  <si>
    <t>MRX</t>
  </si>
  <si>
    <t>MDZ</t>
  </si>
  <si>
    <t>"Автоимпекс" ХК</t>
  </si>
  <si>
    <t>"Дулааны цахилгаан станц2" ХК</t>
  </si>
  <si>
    <t>"Хөвсгөл" ХК</t>
  </si>
  <si>
    <t>"Мерекс" ХК</t>
  </si>
  <si>
    <t>"Монгол дизель" ХК</t>
  </si>
  <si>
    <t>"Эрчим БаянӨлгий" ХК</t>
  </si>
  <si>
    <t xml:space="preserve">Жич: МХБ-д бүртгэлтэй нийт 183 компаниаас 2022 оны жилийн эцсийн санхүүгийн тайлангаа 83.6% нь буюу 160 ХК Сангийн яамны и-балансад шивж, баталгаажсан тайланг нэгтгэв. Дээрх 160 компаниаас 83 компани буюу 51.88% нь ашигтай, 9 компани буюу 5.63% ашиг алдагдалгүй, 68 компани буюу 42.50% нь ашиггүй ажилласан байна.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</si>
</sst>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₮&quot;\ * #,##0.00_-;\-&quot;₮&quot;\ * #,##0.00_-;_-&quot;₮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#,##0.0"/>
    <numFmt numFmtId="168" formatCode="_(* #,##0.0_);_(* \(#,##0.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 Unicode MS"/>
    </font>
    <font>
      <sz val="10"/>
      <name val="Arial Unicode MS"/>
      <family val="2"/>
    </font>
    <font>
      <sz val="10"/>
      <color theme="1"/>
      <name val="Trebuchet MS"/>
      <family val="2"/>
    </font>
    <font>
      <sz val="10"/>
      <name val="Arial Unicode MS"/>
      <charset val="1"/>
    </font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BC2E6"/>
        <bgColor rgb="FF0000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1">
    <xf numFmtId="0" fontId="0" fillId="0" borderId="0"/>
    <xf numFmtId="165" fontId="4" fillId="0" borderId="0" applyFont="0" applyFill="0" applyBorder="0" applyAlignment="0" applyProtection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4" fillId="0" borderId="0"/>
    <xf numFmtId="0" fontId="16" fillId="0" borderId="0"/>
    <xf numFmtId="0" fontId="3" fillId="0" borderId="0"/>
    <xf numFmtId="43" fontId="3" fillId="0" borderId="0" applyFont="0" applyFill="0" applyBorder="0" applyAlignment="0" applyProtection="0"/>
    <xf numFmtId="0" fontId="17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5">
    <xf numFmtId="0" fontId="0" fillId="0" borderId="0" xfId="0"/>
    <xf numFmtId="1" fontId="5" fillId="0" borderId="0" xfId="2" applyNumberFormat="1" applyFont="1" applyFill="1" applyBorder="1" applyAlignment="1">
      <alignment horizontal="center"/>
    </xf>
    <xf numFmtId="0" fontId="5" fillId="0" borderId="0" xfId="2" applyFont="1" applyFill="1" applyBorder="1"/>
    <xf numFmtId="166" fontId="5" fillId="0" borderId="0" xfId="1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right"/>
    </xf>
    <xf numFmtId="0" fontId="5" fillId="0" borderId="0" xfId="2" applyNumberFormat="1" applyFont="1" applyFill="1" applyBorder="1" applyAlignment="1">
      <alignment horizontal="center"/>
    </xf>
    <xf numFmtId="165" fontId="7" fillId="2" borderId="0" xfId="1" applyFont="1" applyFill="1" applyBorder="1" applyAlignment="1">
      <alignment horizontal="left" vertical="center" wrapText="1"/>
    </xf>
    <xf numFmtId="0" fontId="10" fillId="0" borderId="0" xfId="0" applyFont="1"/>
    <xf numFmtId="0" fontId="10" fillId="0" borderId="0" xfId="0" applyFont="1" applyFill="1" applyBorder="1"/>
    <xf numFmtId="165" fontId="10" fillId="0" borderId="0" xfId="1" applyFont="1"/>
    <xf numFmtId="165" fontId="10" fillId="0" borderId="0" xfId="1" applyFont="1" applyFill="1" applyBorder="1"/>
    <xf numFmtId="166" fontId="10" fillId="0" borderId="0" xfId="1" applyNumberFormat="1" applyFont="1"/>
    <xf numFmtId="165" fontId="10" fillId="0" borderId="0" xfId="1" applyFont="1" applyAlignment="1">
      <alignment horizontal="left"/>
    </xf>
    <xf numFmtId="43" fontId="10" fillId="0" borderId="0" xfId="0" applyNumberFormat="1" applyFont="1"/>
    <xf numFmtId="167" fontId="13" fillId="0" borderId="6" xfId="2" applyNumberFormat="1" applyFont="1" applyBorder="1" applyAlignment="1">
      <alignment horizontal="right" vertical="center" wrapText="1"/>
    </xf>
    <xf numFmtId="167" fontId="12" fillId="0" borderId="6" xfId="0" applyNumberFormat="1" applyFont="1" applyBorder="1" applyAlignment="1">
      <alignment horizontal="right" vertical="center" wrapText="1"/>
    </xf>
    <xf numFmtId="167" fontId="12" fillId="0" borderId="6" xfId="2" applyNumberFormat="1" applyFont="1" applyBorder="1" applyAlignment="1">
      <alignment horizontal="right" vertical="center" wrapText="1"/>
    </xf>
    <xf numFmtId="0" fontId="10" fillId="0" borderId="6" xfId="0" applyFont="1" applyBorder="1" applyAlignment="1">
      <alignment vertical="center"/>
    </xf>
    <xf numFmtId="165" fontId="10" fillId="0" borderId="6" xfId="1" applyFont="1" applyBorder="1" applyAlignment="1">
      <alignment vertical="center"/>
    </xf>
    <xf numFmtId="166" fontId="10" fillId="0" borderId="6" xfId="1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66" fontId="10" fillId="0" borderId="6" xfId="0" applyNumberFormat="1" applyFont="1" applyBorder="1" applyAlignment="1">
      <alignment vertical="center"/>
    </xf>
    <xf numFmtId="4" fontId="13" fillId="0" borderId="6" xfId="2" applyNumberFormat="1" applyFont="1" applyBorder="1" applyAlignment="1">
      <alignment horizontal="right" vertical="center" wrapText="1"/>
    </xf>
    <xf numFmtId="4" fontId="10" fillId="0" borderId="6" xfId="1" applyNumberFormat="1" applyFont="1" applyBorder="1" applyAlignment="1">
      <alignment vertical="center"/>
    </xf>
    <xf numFmtId="4" fontId="12" fillId="0" borderId="6" xfId="2" applyNumberFormat="1" applyFont="1" applyBorder="1" applyAlignment="1">
      <alignment horizontal="right" vertical="center" wrapText="1"/>
    </xf>
    <xf numFmtId="2" fontId="10" fillId="0" borderId="6" xfId="0" applyNumberFormat="1" applyFont="1" applyBorder="1" applyAlignment="1">
      <alignment vertical="center"/>
    </xf>
    <xf numFmtId="1" fontId="7" fillId="2" borderId="6" xfId="1" applyNumberFormat="1" applyFont="1" applyFill="1" applyBorder="1" applyAlignment="1">
      <alignment horizontal="center" vertical="center" wrapText="1"/>
    </xf>
    <xf numFmtId="165" fontId="9" fillId="2" borderId="6" xfId="1" applyFont="1" applyFill="1" applyBorder="1" applyAlignment="1">
      <alignment horizontal="center" vertical="center" wrapText="1"/>
    </xf>
    <xf numFmtId="166" fontId="9" fillId="2" borderId="6" xfId="1" applyNumberFormat="1" applyFont="1" applyFill="1" applyBorder="1" applyAlignment="1">
      <alignment horizontal="center" vertical="center" wrapText="1"/>
    </xf>
    <xf numFmtId="165" fontId="8" fillId="2" borderId="6" xfId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2" fontId="8" fillId="2" borderId="6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6" fontId="7" fillId="2" borderId="0" xfId="1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1" fontId="7" fillId="2" borderId="0" xfId="1" applyNumberFormat="1" applyFont="1" applyFill="1" applyBorder="1" applyAlignment="1">
      <alignment horizontal="center" vertical="center" wrapText="1"/>
    </xf>
    <xf numFmtId="165" fontId="7" fillId="2" borderId="0" xfId="1" applyFont="1" applyFill="1" applyBorder="1" applyAlignment="1">
      <alignment horizontal="center" vertical="center" wrapText="1"/>
    </xf>
    <xf numFmtId="0" fontId="7" fillId="2" borderId="0" xfId="1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center"/>
    </xf>
    <xf numFmtId="165" fontId="10" fillId="0" borderId="0" xfId="0" applyNumberFormat="1" applyFont="1"/>
    <xf numFmtId="0" fontId="7" fillId="0" borderId="6" xfId="0" applyFont="1" applyBorder="1" applyAlignment="1">
      <alignment horizontal="center" vertical="center"/>
    </xf>
    <xf numFmtId="4" fontId="10" fillId="0" borderId="0" xfId="0" applyNumberFormat="1" applyFont="1"/>
    <xf numFmtId="166" fontId="10" fillId="0" borderId="0" xfId="1" applyNumberFormat="1" applyFont="1" applyFill="1" applyBorder="1"/>
    <xf numFmtId="166" fontId="8" fillId="2" borderId="6" xfId="1" applyNumberFormat="1" applyFont="1" applyFill="1" applyBorder="1" applyAlignment="1">
      <alignment horizontal="center" vertical="center" wrapText="1"/>
    </xf>
    <xf numFmtId="167" fontId="5" fillId="0" borderId="6" xfId="2" applyNumberFormat="1" applyBorder="1"/>
    <xf numFmtId="1" fontId="10" fillId="0" borderId="6" xfId="0" applyNumberFormat="1" applyFont="1" applyBorder="1" applyAlignment="1">
      <alignment horizontal="center"/>
    </xf>
    <xf numFmtId="0" fontId="10" fillId="0" borderId="6" xfId="0" applyFont="1" applyBorder="1"/>
    <xf numFmtId="4" fontId="10" fillId="0" borderId="6" xfId="0" applyNumberFormat="1" applyFont="1" applyBorder="1"/>
    <xf numFmtId="165" fontId="10" fillId="0" borderId="6" xfId="1" applyFont="1" applyBorder="1"/>
    <xf numFmtId="166" fontId="10" fillId="0" borderId="6" xfId="1" applyNumberFormat="1" applyFont="1" applyBorder="1"/>
    <xf numFmtId="0" fontId="5" fillId="3" borderId="6" xfId="0" applyFont="1" applyFill="1" applyBorder="1" applyAlignment="1">
      <alignment horizontal="left" vertical="center"/>
    </xf>
    <xf numFmtId="49" fontId="10" fillId="0" borderId="6" xfId="1" applyNumberFormat="1" applyFont="1" applyBorder="1" applyAlignment="1">
      <alignment horizontal="center"/>
    </xf>
    <xf numFmtId="165" fontId="9" fillId="2" borderId="6" xfId="1" applyFont="1" applyFill="1" applyBorder="1" applyAlignment="1">
      <alignment horizontal="center" vertical="center" wrapText="1"/>
    </xf>
    <xf numFmtId="0" fontId="9" fillId="2" borderId="6" xfId="1" applyNumberFormat="1" applyFont="1" applyFill="1" applyBorder="1" applyAlignment="1">
      <alignment horizontal="center" vertical="center" wrapText="1"/>
    </xf>
    <xf numFmtId="0" fontId="7" fillId="2" borderId="6" xfId="1" applyNumberFormat="1" applyFont="1" applyFill="1" applyBorder="1" applyAlignment="1">
      <alignment horizontal="center" vertical="center" wrapText="1"/>
    </xf>
    <xf numFmtId="165" fontId="8" fillId="2" borderId="6" xfId="1" applyFont="1" applyFill="1" applyBorder="1" applyAlignment="1">
      <alignment horizontal="center" vertical="center" wrapText="1"/>
    </xf>
    <xf numFmtId="165" fontId="9" fillId="2" borderId="6" xfId="1" applyFont="1" applyFill="1" applyBorder="1" applyAlignment="1">
      <alignment horizontal="center" vertical="center" wrapText="1"/>
    </xf>
    <xf numFmtId="165" fontId="10" fillId="3" borderId="0" xfId="1" applyFont="1" applyFill="1" applyAlignment="1">
      <alignment horizontal="left"/>
    </xf>
    <xf numFmtId="0" fontId="10" fillId="0" borderId="6" xfId="1" applyNumberFormat="1" applyFont="1" applyBorder="1" applyAlignment="1">
      <alignment horizontal="center"/>
    </xf>
    <xf numFmtId="165" fontId="10" fillId="0" borderId="6" xfId="1" applyFont="1" applyBorder="1" applyAlignment="1">
      <alignment horizontal="left"/>
    </xf>
    <xf numFmtId="165" fontId="10" fillId="0" borderId="6" xfId="1" applyFont="1" applyBorder="1" applyAlignment="1">
      <alignment horizontal="center"/>
    </xf>
    <xf numFmtId="167" fontId="15" fillId="0" borderId="6" xfId="2" applyNumberFormat="1" applyFont="1" applyBorder="1" applyAlignment="1">
      <alignment horizontal="right" vertical="center" wrapText="1"/>
    </xf>
    <xf numFmtId="165" fontId="10" fillId="3" borderId="6" xfId="1" applyFont="1" applyFill="1" applyBorder="1" applyAlignment="1">
      <alignment horizontal="left"/>
    </xf>
    <xf numFmtId="0" fontId="10" fillId="3" borderId="6" xfId="1" applyNumberFormat="1" applyFont="1" applyFill="1" applyBorder="1" applyAlignment="1">
      <alignment horizontal="center"/>
    </xf>
    <xf numFmtId="165" fontId="10" fillId="3" borderId="6" xfId="1" applyFont="1" applyFill="1" applyBorder="1" applyAlignment="1">
      <alignment horizontal="center"/>
    </xf>
    <xf numFmtId="167" fontId="12" fillId="3" borderId="6" xfId="0" applyNumberFormat="1" applyFont="1" applyFill="1" applyBorder="1" applyAlignment="1">
      <alignment horizontal="right" vertical="center" wrapText="1"/>
    </xf>
    <xf numFmtId="167" fontId="12" fillId="0" borderId="6" xfId="11" applyNumberFormat="1" applyFont="1" applyBorder="1" applyAlignment="1">
      <alignment horizontal="right" vertical="center" wrapText="1"/>
    </xf>
    <xf numFmtId="0" fontId="7" fillId="2" borderId="6" xfId="1" applyNumberFormat="1" applyFont="1" applyFill="1" applyBorder="1" applyAlignment="1">
      <alignment horizontal="center" vertical="center" wrapText="1"/>
    </xf>
    <xf numFmtId="165" fontId="9" fillId="2" borderId="6" xfId="1" applyFont="1" applyFill="1" applyBorder="1" applyAlignment="1">
      <alignment horizontal="center" vertical="center" wrapText="1"/>
    </xf>
    <xf numFmtId="165" fontId="8" fillId="2" borderId="6" xfId="1" applyFont="1" applyFill="1" applyBorder="1" applyAlignment="1">
      <alignment horizontal="center" vertical="center" wrapText="1"/>
    </xf>
    <xf numFmtId="165" fontId="9" fillId="2" borderId="6" xfId="1" applyFont="1" applyFill="1" applyBorder="1" applyAlignment="1">
      <alignment horizontal="center" vertical="center" wrapText="1"/>
    </xf>
    <xf numFmtId="165" fontId="8" fillId="2" borderId="6" xfId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/>
    </xf>
    <xf numFmtId="165" fontId="10" fillId="0" borderId="6" xfId="1" applyFont="1" applyFill="1" applyBorder="1"/>
    <xf numFmtId="0" fontId="10" fillId="0" borderId="6" xfId="0" applyFont="1" applyBorder="1" applyAlignment="1">
      <alignment horizontal="center"/>
    </xf>
    <xf numFmtId="166" fontId="7" fillId="2" borderId="6" xfId="1" applyNumberFormat="1" applyFont="1" applyFill="1" applyBorder="1" applyAlignment="1">
      <alignment horizontal="left" vertical="center" wrapText="1"/>
    </xf>
    <xf numFmtId="43" fontId="10" fillId="3" borderId="6" xfId="13" applyFont="1" applyFill="1" applyBorder="1"/>
    <xf numFmtId="167" fontId="12" fillId="3" borderId="6" xfId="12" applyNumberFormat="1" applyFont="1" applyFill="1" applyBorder="1" applyAlignment="1">
      <alignment horizontal="right" vertical="center" wrapText="1"/>
    </xf>
    <xf numFmtId="165" fontId="7" fillId="2" borderId="6" xfId="1" applyFont="1" applyFill="1" applyBorder="1" applyAlignment="1">
      <alignment horizontal="left" vertical="center" wrapText="1"/>
    </xf>
    <xf numFmtId="43" fontId="10" fillId="0" borderId="6" xfId="13" applyFont="1" applyBorder="1"/>
    <xf numFmtId="167" fontId="12" fillId="0" borderId="6" xfId="2" applyNumberFormat="1" applyFont="1" applyBorder="1" applyAlignment="1">
      <alignment horizontal="right" vertical="center" wrapText="1"/>
    </xf>
    <xf numFmtId="43" fontId="10" fillId="0" borderId="6" xfId="13" applyFont="1" applyFill="1" applyBorder="1"/>
    <xf numFmtId="165" fontId="9" fillId="2" borderId="6" xfId="1" applyFont="1" applyFill="1" applyBorder="1" applyAlignment="1">
      <alignment horizontal="center" vertical="center" wrapText="1"/>
    </xf>
    <xf numFmtId="165" fontId="8" fillId="2" borderId="6" xfId="1" applyFont="1" applyFill="1" applyBorder="1" applyAlignment="1">
      <alignment horizontal="center" vertical="center" wrapText="1"/>
    </xf>
    <xf numFmtId="3" fontId="0" fillId="0" borderId="0" xfId="0" applyNumberFormat="1"/>
    <xf numFmtId="167" fontId="12" fillId="0" borderId="7" xfId="0" applyNumberFormat="1" applyFont="1" applyBorder="1" applyAlignment="1">
      <alignment horizontal="right" vertical="center" wrapText="1"/>
    </xf>
    <xf numFmtId="168" fontId="10" fillId="0" borderId="6" xfId="1" applyNumberFormat="1" applyFont="1" applyBorder="1" applyAlignment="1">
      <alignment vertical="center"/>
    </xf>
    <xf numFmtId="167" fontId="12" fillId="0" borderId="7" xfId="2" applyNumberFormat="1" applyFont="1" applyBorder="1" applyAlignment="1">
      <alignment horizontal="right" vertical="center" wrapText="1"/>
    </xf>
    <xf numFmtId="167" fontId="12" fillId="0" borderId="7" xfId="2" applyNumberFormat="1" applyFont="1" applyBorder="1" applyAlignment="1">
      <alignment horizontal="right" vertical="center" wrapText="1"/>
    </xf>
    <xf numFmtId="167" fontId="12" fillId="0" borderId="7" xfId="2" applyNumberFormat="1" applyFont="1" applyBorder="1" applyAlignment="1">
      <alignment horizontal="right" vertical="center" wrapText="1"/>
    </xf>
    <xf numFmtId="167" fontId="12" fillId="0" borderId="7" xfId="2" applyNumberFormat="1" applyFont="1" applyBorder="1" applyAlignment="1">
      <alignment horizontal="right" vertical="center" wrapText="1"/>
    </xf>
    <xf numFmtId="167" fontId="12" fillId="0" borderId="7" xfId="2" applyNumberFormat="1" applyFont="1" applyBorder="1" applyAlignment="1">
      <alignment horizontal="right" vertical="center" wrapText="1"/>
    </xf>
    <xf numFmtId="165" fontId="10" fillId="0" borderId="6" xfId="1" applyFont="1" applyBorder="1" applyAlignment="1">
      <alignment horizontal="left" vertical="center" wrapText="1"/>
    </xf>
    <xf numFmtId="167" fontId="12" fillId="0" borderId="7" xfId="2" applyNumberFormat="1" applyFont="1" applyBorder="1" applyAlignment="1">
      <alignment horizontal="right" vertical="center" wrapText="1"/>
    </xf>
    <xf numFmtId="165" fontId="10" fillId="0" borderId="6" xfId="1" applyFont="1" applyFill="1" applyBorder="1" applyAlignment="1">
      <alignment horizontal="left" vertical="center" wrapText="1"/>
    </xf>
    <xf numFmtId="49" fontId="10" fillId="0" borderId="6" xfId="1" applyNumberFormat="1" applyFont="1" applyBorder="1" applyAlignment="1">
      <alignment horizontal="center" vertical="center"/>
    </xf>
    <xf numFmtId="49" fontId="10" fillId="0" borderId="6" xfId="1" applyNumberFormat="1" applyFont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165" fontId="5" fillId="0" borderId="0" xfId="1" applyFont="1" applyFill="1" applyBorder="1"/>
    <xf numFmtId="1" fontId="7" fillId="2" borderId="6" xfId="1" applyNumberFormat="1" applyFont="1" applyFill="1" applyBorder="1" applyAlignment="1">
      <alignment horizontal="left" vertical="center" wrapText="1"/>
    </xf>
    <xf numFmtId="0" fontId="8" fillId="2" borderId="6" xfId="3" applyFont="1" applyFill="1" applyBorder="1" applyAlignment="1">
      <alignment horizontal="center" vertical="center" wrapText="1"/>
    </xf>
    <xf numFmtId="2" fontId="8" fillId="2" borderId="6" xfId="3" applyNumberFormat="1" applyFont="1" applyFill="1" applyBorder="1" applyAlignment="1">
      <alignment horizontal="center" vertical="center" wrapText="1"/>
    </xf>
    <xf numFmtId="0" fontId="10" fillId="0" borderId="6" xfId="4" applyNumberFormat="1" applyFont="1" applyBorder="1" applyAlignment="1">
      <alignment horizontal="center"/>
    </xf>
    <xf numFmtId="43" fontId="10" fillId="0" borderId="6" xfId="16" applyFont="1" applyBorder="1"/>
    <xf numFmtId="166" fontId="10" fillId="0" borderId="6" xfId="16" applyNumberFormat="1" applyFont="1" applyBorder="1"/>
    <xf numFmtId="4" fontId="10" fillId="0" borderId="6" xfId="15" applyNumberFormat="1" applyFont="1" applyBorder="1"/>
    <xf numFmtId="165" fontId="18" fillId="0" borderId="7" xfId="1" applyFont="1" applyBorder="1" applyAlignment="1">
      <alignment horizontal="right" vertical="center" wrapText="1"/>
    </xf>
    <xf numFmtId="165" fontId="12" fillId="0" borderId="7" xfId="1" applyFont="1" applyBorder="1" applyAlignment="1">
      <alignment horizontal="right" vertical="center" wrapText="1"/>
    </xf>
    <xf numFmtId="165" fontId="12" fillId="3" borderId="7" xfId="1" applyFont="1" applyFill="1" applyBorder="1" applyAlignment="1">
      <alignment horizontal="right" vertical="center" wrapText="1"/>
    </xf>
    <xf numFmtId="165" fontId="2" fillId="0" borderId="6" xfId="1" applyFont="1" applyBorder="1"/>
    <xf numFmtId="165" fontId="12" fillId="0" borderId="6" xfId="1" applyFont="1" applyBorder="1" applyAlignment="1">
      <alignment horizontal="right" vertical="center" wrapText="1"/>
    </xf>
    <xf numFmtId="165" fontId="10" fillId="3" borderId="7" xfId="1" applyFont="1" applyFill="1" applyBorder="1"/>
    <xf numFmtId="165" fontId="10" fillId="0" borderId="7" xfId="1" applyFont="1" applyBorder="1"/>
    <xf numFmtId="43" fontId="10" fillId="0" borderId="7" xfId="13" applyFont="1" applyFill="1" applyBorder="1"/>
    <xf numFmtId="0" fontId="5" fillId="0" borderId="0" xfId="2" applyFont="1" applyFill="1" applyBorder="1" applyAlignment="1">
      <alignment horizontal="center"/>
    </xf>
    <xf numFmtId="165" fontId="10" fillId="0" borderId="6" xfId="1" applyFont="1" applyBorder="1" applyAlignment="1">
      <alignment horizontal="center" vertical="center" wrapText="1"/>
    </xf>
    <xf numFmtId="43" fontId="10" fillId="0" borderId="6" xfId="19" applyFont="1" applyBorder="1"/>
    <xf numFmtId="0" fontId="11" fillId="0" borderId="0" xfId="0" applyFont="1" applyAlignment="1">
      <alignment horizontal="center" vertical="center" wrapText="1"/>
    </xf>
    <xf numFmtId="0" fontId="8" fillId="0" borderId="0" xfId="2" applyFont="1" applyFill="1" applyBorder="1" applyAlignment="1">
      <alignment horizontal="center"/>
    </xf>
    <xf numFmtId="0" fontId="7" fillId="2" borderId="6" xfId="1" applyNumberFormat="1" applyFont="1" applyFill="1" applyBorder="1" applyAlignment="1">
      <alignment horizontal="center" vertical="center" wrapText="1"/>
    </xf>
    <xf numFmtId="165" fontId="8" fillId="2" borderId="1" xfId="1" applyFont="1" applyFill="1" applyBorder="1" applyAlignment="1">
      <alignment horizontal="center" vertical="center" wrapText="1"/>
    </xf>
    <xf numFmtId="165" fontId="8" fillId="2" borderId="2" xfId="1" applyFont="1" applyFill="1" applyBorder="1" applyAlignment="1">
      <alignment horizontal="center" vertical="center" wrapText="1"/>
    </xf>
    <xf numFmtId="165" fontId="8" fillId="2" borderId="3" xfId="1" applyFont="1" applyFill="1" applyBorder="1" applyAlignment="1">
      <alignment horizontal="center" vertical="center" wrapText="1"/>
    </xf>
    <xf numFmtId="165" fontId="8" fillId="2" borderId="4" xfId="1" applyFont="1" applyFill="1" applyBorder="1" applyAlignment="1">
      <alignment horizontal="left" vertical="center" wrapText="1"/>
    </xf>
    <xf numFmtId="165" fontId="8" fillId="2" borderId="5" xfId="1" applyFont="1" applyFill="1" applyBorder="1" applyAlignment="1">
      <alignment horizontal="left" vertical="center" wrapText="1"/>
    </xf>
    <xf numFmtId="165" fontId="8" fillId="2" borderId="1" xfId="1" applyFont="1" applyFill="1" applyBorder="1" applyAlignment="1">
      <alignment horizontal="left" vertical="center" wrapText="1"/>
    </xf>
    <xf numFmtId="165" fontId="8" fillId="2" borderId="3" xfId="1" applyFont="1" applyFill="1" applyBorder="1" applyAlignment="1">
      <alignment horizontal="left" vertical="center" wrapText="1"/>
    </xf>
    <xf numFmtId="165" fontId="9" fillId="2" borderId="6" xfId="1" applyFont="1" applyFill="1" applyBorder="1" applyAlignment="1">
      <alignment horizontal="center" vertical="center" wrapText="1"/>
    </xf>
    <xf numFmtId="49" fontId="9" fillId="2" borderId="6" xfId="1" applyNumberFormat="1" applyFont="1" applyFill="1" applyBorder="1" applyAlignment="1">
      <alignment horizontal="center" vertical="center" wrapText="1"/>
    </xf>
    <xf numFmtId="165" fontId="8" fillId="2" borderId="6" xfId="1" applyFont="1" applyFill="1" applyBorder="1" applyAlignment="1">
      <alignment horizontal="left" vertical="center" wrapText="1"/>
    </xf>
    <xf numFmtId="0" fontId="8" fillId="2" borderId="1" xfId="3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horizontal="left" vertical="center" wrapText="1"/>
    </xf>
    <xf numFmtId="165" fontId="8" fillId="2" borderId="4" xfId="1" applyFont="1" applyFill="1" applyBorder="1" applyAlignment="1">
      <alignment horizontal="center" vertical="center" wrapText="1"/>
    </xf>
    <xf numFmtId="165" fontId="8" fillId="2" borderId="5" xfId="1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165" fontId="8" fillId="2" borderId="2" xfId="1" applyFont="1" applyFill="1" applyBorder="1" applyAlignment="1">
      <alignment horizontal="left" vertical="center" wrapText="1"/>
    </xf>
    <xf numFmtId="165" fontId="8" fillId="2" borderId="6" xfId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166" fontId="0" fillId="0" borderId="0" xfId="1" applyNumberFormat="1" applyFont="1" applyAlignment="1">
      <alignment vertical="center"/>
    </xf>
    <xf numFmtId="0" fontId="0" fillId="0" borderId="0" xfId="0" applyAlignment="1">
      <alignment horizontal="right"/>
    </xf>
    <xf numFmtId="4" fontId="0" fillId="0" borderId="0" xfId="0" applyNumberFormat="1"/>
    <xf numFmtId="0" fontId="10" fillId="0" borderId="6" xfId="0" applyFont="1" applyBorder="1" applyAlignment="1">
      <alignment horizontal="right"/>
    </xf>
    <xf numFmtId="166" fontId="0" fillId="0" borderId="0" xfId="1" applyNumberFormat="1" applyFont="1"/>
  </cellXfs>
  <cellStyles count="21">
    <cellStyle name="Comma" xfId="1" builtinId="3"/>
    <cellStyle name="Comma 2" xfId="7" xr:uid="{037F45D8-70E1-4FC6-A190-036941B01798}"/>
    <cellStyle name="Comma 2 3" xfId="8" xr:uid="{18DF747B-9A8D-4DA1-8294-5F6F5425A39C}"/>
    <cellStyle name="Comma 3" xfId="6" xr:uid="{F5E10379-2E27-4A85-AC7B-09303191A6D6}"/>
    <cellStyle name="Comma 4" xfId="13" xr:uid="{0D6459E6-CC60-4949-A356-2F03D04DBFB2}"/>
    <cellStyle name="Comma 5" xfId="16" xr:uid="{96092DF8-6539-4222-BF4C-0E4739F97382}"/>
    <cellStyle name="Comma 6" xfId="19" xr:uid="{A12470FA-0207-4794-9B5F-29137F7B79FA}"/>
    <cellStyle name="Currency" xfId="4" builtinId="4"/>
    <cellStyle name="Currency 2" xfId="17" xr:uid="{7BC0948F-3B18-4994-BB85-F03E0524B6AA}"/>
    <cellStyle name="Currency 3" xfId="20" xr:uid="{B266AC6D-CA91-4514-BC83-DAB74268774A}"/>
    <cellStyle name="Normal" xfId="0" builtinId="0"/>
    <cellStyle name="Normal 2" xfId="2" xr:uid="{00000000-0005-0000-0000-000003000000}"/>
    <cellStyle name="Normal 3" xfId="11" xr:uid="{26E3B02B-E460-4798-B40F-E7BA3CB44C44}"/>
    <cellStyle name="Normal 4" xfId="3" xr:uid="{00000000-0005-0000-0000-000004000000}"/>
    <cellStyle name="Normal 4 2" xfId="9" xr:uid="{786943D6-A18B-4157-A8C3-2CFB12488DD9}"/>
    <cellStyle name="Normal 5" xfId="12" xr:uid="{8B9BA9DE-10B3-4C8F-83E7-3F489494D57A}"/>
    <cellStyle name="Normal 5 2" xfId="5" xr:uid="{00000000-0005-0000-0000-000005000000}"/>
    <cellStyle name="Normal 6" xfId="14" xr:uid="{CB99C1CE-5955-45CE-9C5B-62FD5CD3604A}"/>
    <cellStyle name="Normal 7" xfId="15" xr:uid="{82209612-A531-4FD9-A93D-2BB699D7B281}"/>
    <cellStyle name="Normal 8" xfId="10" xr:uid="{1305CA04-E159-44D7-93AD-0163D4846370}"/>
    <cellStyle name="Normal 9" xfId="18" xr:uid="{CA471B34-EB90-4577-A6ED-EFD9D9D43E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7"/>
  <sheetViews>
    <sheetView tabSelected="1" zoomScale="82" zoomScaleNormal="82" workbookViewId="0">
      <pane xSplit="3" ySplit="4" topLeftCell="E128" activePane="bottomRight" state="frozen"/>
      <selection pane="topRight" activeCell="E1" sqref="E1"/>
      <selection pane="bottomLeft" activeCell="A5" sqref="A5"/>
      <selection pane="bottomRight" activeCell="L172" sqref="L172"/>
    </sheetView>
  </sheetViews>
  <sheetFormatPr defaultRowHeight="12.75"/>
  <cols>
    <col min="1" max="1" width="9.140625" style="38" bestFit="1" customWidth="1"/>
    <col min="2" max="2" width="53.85546875" style="7" bestFit="1" customWidth="1"/>
    <col min="3" max="3" width="8.5703125" style="98" bestFit="1" customWidth="1"/>
    <col min="4" max="4" width="9.140625" style="32" customWidth="1"/>
    <col min="5" max="5" width="15.85546875" style="7" bestFit="1" customWidth="1"/>
    <col min="6" max="7" width="17.7109375" style="7" bestFit="1" customWidth="1"/>
    <col min="8" max="8" width="15.85546875" style="9" bestFit="1" customWidth="1"/>
    <col min="9" max="10" width="17.7109375" style="9" bestFit="1" customWidth="1"/>
    <col min="11" max="14" width="15.85546875" style="9" bestFit="1" customWidth="1"/>
    <col min="15" max="15" width="15.5703125" style="9" customWidth="1"/>
    <col min="16" max="16" width="15.42578125" style="9" bestFit="1" customWidth="1"/>
    <col min="17" max="17" width="18.42578125" style="9" customWidth="1"/>
    <col min="18" max="18" width="14.85546875" style="9" bestFit="1" customWidth="1"/>
    <col min="19" max="19" width="14.7109375" style="9" bestFit="1" customWidth="1"/>
    <col min="20" max="20" width="15.5703125" style="9" bestFit="1" customWidth="1"/>
    <col min="21" max="21" width="13" style="9" bestFit="1" customWidth="1"/>
    <col min="22" max="22" width="17.42578125" style="11" bestFit="1" customWidth="1"/>
    <col min="23" max="16384" width="9.140625" style="7"/>
  </cols>
  <sheetData>
    <row r="1" spans="1:22">
      <c r="A1" s="5"/>
      <c r="B1" s="119" t="s">
        <v>333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0"/>
      <c r="T1" s="10"/>
      <c r="U1" s="10"/>
      <c r="V1" s="42"/>
    </row>
    <row r="2" spans="1:22">
      <c r="A2" s="5"/>
      <c r="B2" s="2"/>
      <c r="C2" s="97"/>
      <c r="D2" s="115"/>
      <c r="E2" s="2"/>
      <c r="F2" s="2"/>
      <c r="G2" s="2"/>
      <c r="H2" s="99"/>
      <c r="I2" s="99"/>
      <c r="J2" s="99"/>
      <c r="K2" s="99"/>
      <c r="L2" s="10"/>
      <c r="M2" s="10"/>
      <c r="N2" s="10"/>
      <c r="O2" s="10"/>
      <c r="P2" s="10"/>
      <c r="Q2" s="10"/>
      <c r="R2" s="10"/>
      <c r="S2" s="10"/>
      <c r="T2" s="10"/>
      <c r="U2" s="10"/>
      <c r="V2" s="42"/>
    </row>
    <row r="3" spans="1:22" ht="24.75" customHeight="1">
      <c r="A3" s="120" t="s">
        <v>4</v>
      </c>
      <c r="B3" s="128" t="s">
        <v>5</v>
      </c>
      <c r="C3" s="129" t="s">
        <v>6</v>
      </c>
      <c r="D3" s="128" t="s">
        <v>7</v>
      </c>
      <c r="E3" s="121" t="s">
        <v>1</v>
      </c>
      <c r="F3" s="122"/>
      <c r="G3" s="122"/>
      <c r="H3" s="122"/>
      <c r="I3" s="122"/>
      <c r="J3" s="122"/>
      <c r="K3" s="123"/>
      <c r="L3" s="124" t="s">
        <v>2</v>
      </c>
      <c r="M3" s="125"/>
      <c r="N3" s="125"/>
      <c r="O3" s="125"/>
      <c r="P3" s="125"/>
      <c r="Q3" s="125"/>
      <c r="R3" s="125"/>
      <c r="S3" s="125"/>
      <c r="T3" s="125"/>
      <c r="U3" s="126" t="s">
        <v>3</v>
      </c>
      <c r="V3" s="127"/>
    </row>
    <row r="4" spans="1:22" s="32" customFormat="1" ht="63.75">
      <c r="A4" s="120"/>
      <c r="B4" s="128"/>
      <c r="C4" s="129"/>
      <c r="D4" s="128"/>
      <c r="E4" s="56" t="s">
        <v>8</v>
      </c>
      <c r="F4" s="56" t="s">
        <v>9</v>
      </c>
      <c r="G4" s="56" t="s">
        <v>10</v>
      </c>
      <c r="H4" s="70" t="s">
        <v>11</v>
      </c>
      <c r="I4" s="70" t="s">
        <v>12</v>
      </c>
      <c r="J4" s="70" t="s">
        <v>13</v>
      </c>
      <c r="K4" s="70" t="s">
        <v>14</v>
      </c>
      <c r="L4" s="70" t="s">
        <v>15</v>
      </c>
      <c r="M4" s="70" t="s">
        <v>16</v>
      </c>
      <c r="N4" s="70" t="s">
        <v>17</v>
      </c>
      <c r="O4" s="70" t="s">
        <v>18</v>
      </c>
      <c r="P4" s="70" t="s">
        <v>19</v>
      </c>
      <c r="Q4" s="70" t="s">
        <v>20</v>
      </c>
      <c r="R4" s="70" t="s">
        <v>21</v>
      </c>
      <c r="S4" s="71" t="s">
        <v>22</v>
      </c>
      <c r="T4" s="71" t="s">
        <v>23</v>
      </c>
      <c r="U4" s="71" t="s">
        <v>24</v>
      </c>
      <c r="V4" s="43" t="s">
        <v>25</v>
      </c>
    </row>
    <row r="5" spans="1:22" s="12" customFormat="1">
      <c r="A5" s="45">
        <v>1</v>
      </c>
      <c r="B5" s="46" t="s">
        <v>159</v>
      </c>
      <c r="C5" s="95">
        <v>90</v>
      </c>
      <c r="D5" s="74" t="s">
        <v>144</v>
      </c>
      <c r="E5" s="47">
        <v>352753378.10000002</v>
      </c>
      <c r="F5" s="47">
        <v>490853955.89999998</v>
      </c>
      <c r="G5" s="47">
        <v>843607334</v>
      </c>
      <c r="H5" s="48">
        <v>131093056.8</v>
      </c>
      <c r="I5" s="48">
        <v>79321382.5</v>
      </c>
      <c r="J5" s="48">
        <v>210414439.30000001</v>
      </c>
      <c r="K5" s="48">
        <v>603029788.10000002</v>
      </c>
      <c r="L5" s="48">
        <v>838822711.70000005</v>
      </c>
      <c r="M5" s="48">
        <v>483720356.69999999</v>
      </c>
      <c r="N5" s="48">
        <v>355102355</v>
      </c>
      <c r="O5" s="48">
        <v>5989687.2999999998</v>
      </c>
      <c r="P5" s="48">
        <v>193952145.69999999</v>
      </c>
      <c r="Q5" s="48">
        <v>-4270613.4000000004</v>
      </c>
      <c r="R5" s="48">
        <v>0</v>
      </c>
      <c r="S5" s="48">
        <v>0</v>
      </c>
      <c r="T5" s="48">
        <v>124839114.8</v>
      </c>
      <c r="U5" s="48">
        <f t="shared" ref="U5" si="0">(K5/V5)*1000</f>
        <v>811.74916991641953</v>
      </c>
      <c r="V5" s="49">
        <v>742877000</v>
      </c>
    </row>
    <row r="6" spans="1:22" s="12" customFormat="1">
      <c r="A6" s="45">
        <f>+A5+1</f>
        <v>2</v>
      </c>
      <c r="B6" s="50" t="s">
        <v>298</v>
      </c>
      <c r="C6" s="95">
        <v>458</v>
      </c>
      <c r="D6" s="74" t="s">
        <v>291</v>
      </c>
      <c r="E6" s="47">
        <v>440130683</v>
      </c>
      <c r="F6" s="47">
        <v>16584212.5</v>
      </c>
      <c r="G6" s="47">
        <v>456714895.5</v>
      </c>
      <c r="H6" s="48">
        <v>132942765.7</v>
      </c>
      <c r="I6" s="48">
        <v>0</v>
      </c>
      <c r="J6" s="48">
        <v>132942765.7</v>
      </c>
      <c r="K6" s="48">
        <v>323772129.80000001</v>
      </c>
      <c r="L6" s="48">
        <v>762406943.89999998</v>
      </c>
      <c r="M6" s="48">
        <v>358662792.19999999</v>
      </c>
      <c r="N6" s="48">
        <v>403744151.69999999</v>
      </c>
      <c r="O6" s="48">
        <v>988165.4</v>
      </c>
      <c r="P6" s="48">
        <v>8374571.2000000002</v>
      </c>
      <c r="Q6" s="48">
        <v>33538691.699999999</v>
      </c>
      <c r="R6" s="48">
        <v>0</v>
      </c>
      <c r="S6" s="48">
        <v>98891332</v>
      </c>
      <c r="T6" s="48">
        <v>331005105.60000002</v>
      </c>
      <c r="U6" s="48">
        <f t="shared" ref="U6:U37" si="1">(K6/V6)*1000</f>
        <v>6147.7432877877618</v>
      </c>
      <c r="V6" s="49">
        <v>52665200</v>
      </c>
    </row>
    <row r="7" spans="1:22" s="12" customFormat="1">
      <c r="A7" s="45">
        <f t="shared" ref="A7:A70" si="2">+A6+1</f>
        <v>3</v>
      </c>
      <c r="B7" s="46" t="s">
        <v>319</v>
      </c>
      <c r="C7" s="95">
        <v>23</v>
      </c>
      <c r="D7" s="74" t="s">
        <v>307</v>
      </c>
      <c r="E7" s="47">
        <v>31753824.199999999</v>
      </c>
      <c r="F7" s="47">
        <v>0</v>
      </c>
      <c r="G7" s="47">
        <v>31753824.199999999</v>
      </c>
      <c r="H7" s="48">
        <v>4975715.5999999996</v>
      </c>
      <c r="I7" s="48">
        <v>0</v>
      </c>
      <c r="J7" s="48">
        <v>4975715.5999999996</v>
      </c>
      <c r="K7" s="48">
        <v>26778108.600000001</v>
      </c>
      <c r="L7" s="48">
        <v>0</v>
      </c>
      <c r="M7" s="48">
        <v>2060540.8</v>
      </c>
      <c r="N7" s="48">
        <v>-2060540.8</v>
      </c>
      <c r="O7" s="48">
        <v>35239681.899999999</v>
      </c>
      <c r="P7" s="48">
        <v>2133659.7000000002</v>
      </c>
      <c r="Q7" s="48">
        <v>0</v>
      </c>
      <c r="R7" s="48">
        <v>0</v>
      </c>
      <c r="S7" s="48">
        <v>438877.8</v>
      </c>
      <c r="T7" s="48">
        <v>30606603.600000001</v>
      </c>
      <c r="U7" s="48">
        <f t="shared" si="1"/>
        <v>76317.651484708316</v>
      </c>
      <c r="V7" s="49">
        <v>350877</v>
      </c>
    </row>
    <row r="8" spans="1:22" s="12" customFormat="1">
      <c r="A8" s="45">
        <f t="shared" si="2"/>
        <v>4</v>
      </c>
      <c r="B8" s="48" t="s">
        <v>331</v>
      </c>
      <c r="C8" s="95">
        <v>379</v>
      </c>
      <c r="D8" s="60" t="s">
        <v>327</v>
      </c>
      <c r="E8" s="48">
        <v>60222662.700000003</v>
      </c>
      <c r="F8" s="48">
        <v>4070648.8</v>
      </c>
      <c r="G8" s="48">
        <v>64293311.5</v>
      </c>
      <c r="H8" s="48">
        <v>24729989.100000001</v>
      </c>
      <c r="I8" s="48">
        <v>0</v>
      </c>
      <c r="J8" s="48">
        <v>24729989.100000001</v>
      </c>
      <c r="K8" s="48">
        <v>39563322.399999999</v>
      </c>
      <c r="L8" s="48">
        <v>77101755.299999997</v>
      </c>
      <c r="M8" s="48">
        <v>70021088.5</v>
      </c>
      <c r="N8" s="48">
        <v>7080666.7999999998</v>
      </c>
      <c r="O8" s="48">
        <v>2779838.9</v>
      </c>
      <c r="P8" s="48">
        <v>4624222.3</v>
      </c>
      <c r="Q8" s="48">
        <v>4021779.2</v>
      </c>
      <c r="R8" s="48">
        <v>0</v>
      </c>
      <c r="S8" s="48">
        <v>554963</v>
      </c>
      <c r="T8" s="48">
        <v>8703099.5999999996</v>
      </c>
      <c r="U8" s="48">
        <f t="shared" si="1"/>
        <v>28916.202969435886</v>
      </c>
      <c r="V8" s="48">
        <v>1368206</v>
      </c>
    </row>
    <row r="9" spans="1:22" s="12" customFormat="1">
      <c r="A9" s="45">
        <f t="shared" si="2"/>
        <v>5</v>
      </c>
      <c r="B9" s="46" t="s">
        <v>160</v>
      </c>
      <c r="C9" s="95">
        <v>441</v>
      </c>
      <c r="D9" s="74" t="s">
        <v>108</v>
      </c>
      <c r="E9" s="47">
        <v>86674546</v>
      </c>
      <c r="F9" s="47">
        <v>4557954.5999999996</v>
      </c>
      <c r="G9" s="47">
        <v>91232500.599999994</v>
      </c>
      <c r="H9" s="48">
        <v>66171983.299999997</v>
      </c>
      <c r="I9" s="48">
        <v>12213.3</v>
      </c>
      <c r="J9" s="48">
        <v>66184196.600000001</v>
      </c>
      <c r="K9" s="48">
        <v>25048304</v>
      </c>
      <c r="L9" s="48">
        <v>211465410.69999999</v>
      </c>
      <c r="M9" s="48">
        <v>193231944.40000001</v>
      </c>
      <c r="N9" s="48">
        <v>18233466.300000001</v>
      </c>
      <c r="O9" s="48">
        <v>904482.7</v>
      </c>
      <c r="P9" s="48">
        <v>8998702</v>
      </c>
      <c r="Q9" s="48">
        <v>-78237.3</v>
      </c>
      <c r="R9" s="48">
        <v>0</v>
      </c>
      <c r="S9" s="48">
        <v>1653998.6</v>
      </c>
      <c r="T9" s="48">
        <v>8407011.0999999996</v>
      </c>
      <c r="U9" s="48">
        <f t="shared" si="1"/>
        <v>17313.43869556352</v>
      </c>
      <c r="V9" s="49">
        <v>1446755</v>
      </c>
    </row>
    <row r="10" spans="1:22" s="12" customFormat="1">
      <c r="A10" s="45">
        <f t="shared" si="2"/>
        <v>6</v>
      </c>
      <c r="B10" s="46" t="s">
        <v>161</v>
      </c>
      <c r="C10" s="95">
        <v>549</v>
      </c>
      <c r="D10" s="74" t="s">
        <v>111</v>
      </c>
      <c r="E10" s="47">
        <v>18512437.899999999</v>
      </c>
      <c r="F10" s="47">
        <v>33911070</v>
      </c>
      <c r="G10" s="47">
        <v>52423507.899999999</v>
      </c>
      <c r="H10" s="48">
        <v>8463598</v>
      </c>
      <c r="I10" s="48">
        <v>7067307.7000000002</v>
      </c>
      <c r="J10" s="48">
        <v>15530905.699999999</v>
      </c>
      <c r="K10" s="48">
        <v>36892602.200000003</v>
      </c>
      <c r="L10" s="48">
        <v>45955857.799999997</v>
      </c>
      <c r="M10" s="48">
        <v>32225069</v>
      </c>
      <c r="N10" s="48">
        <v>13730788.800000001</v>
      </c>
      <c r="O10" s="48">
        <v>0</v>
      </c>
      <c r="P10" s="48">
        <v>5385105.5999999996</v>
      </c>
      <c r="Q10" s="48">
        <v>-40915.4</v>
      </c>
      <c r="R10" s="48">
        <v>0</v>
      </c>
      <c r="S10" s="48">
        <v>1142323.1000000001</v>
      </c>
      <c r="T10" s="48">
        <v>7162444.7000000002</v>
      </c>
      <c r="U10" s="48">
        <f t="shared" si="1"/>
        <v>184.46301100000002</v>
      </c>
      <c r="V10" s="49">
        <v>200000000</v>
      </c>
    </row>
    <row r="11" spans="1:22" s="12" customFormat="1">
      <c r="A11" s="45">
        <f t="shared" si="2"/>
        <v>7</v>
      </c>
      <c r="B11" s="46" t="s">
        <v>278</v>
      </c>
      <c r="C11" s="95">
        <v>135</v>
      </c>
      <c r="D11" s="74" t="s">
        <v>267</v>
      </c>
      <c r="E11" s="48">
        <v>31186286.800000001</v>
      </c>
      <c r="F11" s="48">
        <v>55779655.399999999</v>
      </c>
      <c r="G11" s="48">
        <v>86965942.200000003</v>
      </c>
      <c r="H11" s="48">
        <v>31097367.5</v>
      </c>
      <c r="I11" s="48">
        <v>18961794</v>
      </c>
      <c r="J11" s="48">
        <v>50059161.5</v>
      </c>
      <c r="K11" s="48">
        <v>36906780.700000003</v>
      </c>
      <c r="L11" s="48">
        <v>108808621.2</v>
      </c>
      <c r="M11" s="48">
        <v>79944245.200000003</v>
      </c>
      <c r="N11" s="48">
        <v>28864376</v>
      </c>
      <c r="O11" s="48">
        <v>1355479.6</v>
      </c>
      <c r="P11" s="48">
        <v>21464004</v>
      </c>
      <c r="Q11" s="48">
        <v>-1182307.3999999999</v>
      </c>
      <c r="R11" s="48">
        <v>0</v>
      </c>
      <c r="S11" s="48">
        <v>957226.5</v>
      </c>
      <c r="T11" s="48">
        <v>6616317.7000000002</v>
      </c>
      <c r="U11" s="48">
        <f t="shared" si="1"/>
        <v>107.28715319767443</v>
      </c>
      <c r="V11" s="49">
        <v>344000000</v>
      </c>
    </row>
    <row r="12" spans="1:22" s="12" customFormat="1">
      <c r="A12" s="45">
        <f t="shared" si="2"/>
        <v>8</v>
      </c>
      <c r="B12" s="46" t="s">
        <v>162</v>
      </c>
      <c r="C12" s="95">
        <v>22</v>
      </c>
      <c r="D12" s="74" t="s">
        <v>104</v>
      </c>
      <c r="E12" s="47">
        <v>18549491.399999999</v>
      </c>
      <c r="F12" s="47">
        <v>61000602</v>
      </c>
      <c r="G12" s="47">
        <v>79550093.400000006</v>
      </c>
      <c r="H12" s="48">
        <v>12396652.699999999</v>
      </c>
      <c r="I12" s="48">
        <v>3077599.7</v>
      </c>
      <c r="J12" s="48">
        <v>15474252.4</v>
      </c>
      <c r="K12" s="48">
        <v>64075841</v>
      </c>
      <c r="L12" s="48">
        <v>100857714.5</v>
      </c>
      <c r="M12" s="48">
        <v>68945160.099999994</v>
      </c>
      <c r="N12" s="48">
        <v>31912554.399999999</v>
      </c>
      <c r="O12" s="48">
        <v>0</v>
      </c>
      <c r="P12" s="48">
        <v>23585202</v>
      </c>
      <c r="Q12" s="48">
        <v>0</v>
      </c>
      <c r="R12" s="48">
        <v>-744983.1</v>
      </c>
      <c r="S12" s="48">
        <v>1181838.1000000001</v>
      </c>
      <c r="T12" s="48">
        <v>6400531.2000000002</v>
      </c>
      <c r="U12" s="48">
        <f t="shared" si="1"/>
        <v>62592.217664693766</v>
      </c>
      <c r="V12" s="49">
        <v>1023703</v>
      </c>
    </row>
    <row r="13" spans="1:22" s="12" customFormat="1">
      <c r="A13" s="45">
        <f t="shared" si="2"/>
        <v>9</v>
      </c>
      <c r="B13" s="46" t="s">
        <v>163</v>
      </c>
      <c r="C13" s="95">
        <v>227</v>
      </c>
      <c r="D13" s="74" t="s">
        <v>29</v>
      </c>
      <c r="E13" s="47">
        <v>53411550</v>
      </c>
      <c r="F13" s="47">
        <v>35909250.399999999</v>
      </c>
      <c r="G13" s="47">
        <v>89320800.400000006</v>
      </c>
      <c r="H13" s="48">
        <v>58826814.600000001</v>
      </c>
      <c r="I13" s="48">
        <v>11920383.9</v>
      </c>
      <c r="J13" s="48">
        <v>70747198.5</v>
      </c>
      <c r="K13" s="48">
        <v>18573601.899999999</v>
      </c>
      <c r="L13" s="48">
        <v>142912930.59999999</v>
      </c>
      <c r="M13" s="48">
        <v>130421472.3</v>
      </c>
      <c r="N13" s="48">
        <v>12491458.300000001</v>
      </c>
      <c r="O13" s="48">
        <v>9817</v>
      </c>
      <c r="P13" s="48">
        <v>8383691.0999999996</v>
      </c>
      <c r="Q13" s="48">
        <v>1478.6</v>
      </c>
      <c r="R13" s="48">
        <v>0</v>
      </c>
      <c r="S13" s="48">
        <v>538459.1</v>
      </c>
      <c r="T13" s="48">
        <v>3580603.7</v>
      </c>
      <c r="U13" s="48">
        <f t="shared" si="1"/>
        <v>342983.80329806288</v>
      </c>
      <c r="V13" s="49">
        <v>54153</v>
      </c>
    </row>
    <row r="14" spans="1:22" s="12" customFormat="1">
      <c r="A14" s="45">
        <f t="shared" si="2"/>
        <v>10</v>
      </c>
      <c r="B14" s="46" t="s">
        <v>164</v>
      </c>
      <c r="C14" s="95">
        <v>88</v>
      </c>
      <c r="D14" s="74" t="s">
        <v>60</v>
      </c>
      <c r="E14" s="47">
        <v>4619674.5</v>
      </c>
      <c r="F14" s="47">
        <v>7332209.4000000004</v>
      </c>
      <c r="G14" s="47">
        <v>11951883.9</v>
      </c>
      <c r="H14" s="48">
        <v>1345150.1</v>
      </c>
      <c r="I14" s="48">
        <v>0</v>
      </c>
      <c r="J14" s="48">
        <v>1345150.1</v>
      </c>
      <c r="K14" s="48">
        <v>10606733.800000001</v>
      </c>
      <c r="L14" s="48">
        <v>0</v>
      </c>
      <c r="M14" s="48">
        <v>0</v>
      </c>
      <c r="N14" s="48">
        <v>0</v>
      </c>
      <c r="O14" s="48">
        <v>5569908</v>
      </c>
      <c r="P14" s="48">
        <v>2398923.5</v>
      </c>
      <c r="Q14" s="48">
        <v>296086.40000000002</v>
      </c>
      <c r="R14" s="48">
        <v>0</v>
      </c>
      <c r="S14" s="48">
        <v>0</v>
      </c>
      <c r="T14" s="48">
        <v>3467070.9</v>
      </c>
      <c r="U14" s="48">
        <f t="shared" si="1"/>
        <v>6552.6895922860795</v>
      </c>
      <c r="V14" s="49">
        <v>1618684</v>
      </c>
    </row>
    <row r="15" spans="1:22" s="12" customFormat="1">
      <c r="A15" s="45">
        <f t="shared" si="2"/>
        <v>11</v>
      </c>
      <c r="B15" s="46" t="s">
        <v>165</v>
      </c>
      <c r="C15" s="95">
        <v>551</v>
      </c>
      <c r="D15" s="74" t="s">
        <v>90</v>
      </c>
      <c r="E15" s="47">
        <v>12472521.800000001</v>
      </c>
      <c r="F15" s="47">
        <v>24035034.699999999</v>
      </c>
      <c r="G15" s="47">
        <v>36507556.5</v>
      </c>
      <c r="H15" s="48">
        <v>14545692.800000001</v>
      </c>
      <c r="I15" s="48">
        <v>4671201.0999999996</v>
      </c>
      <c r="J15" s="48">
        <v>19216893.899999999</v>
      </c>
      <c r="K15" s="48">
        <v>17290662.600000001</v>
      </c>
      <c r="L15" s="48">
        <v>28216577.5</v>
      </c>
      <c r="M15" s="48">
        <v>15928711</v>
      </c>
      <c r="N15" s="48">
        <v>12287866.5</v>
      </c>
      <c r="O15" s="48">
        <v>74409</v>
      </c>
      <c r="P15" s="48">
        <v>8600768.9000000004</v>
      </c>
      <c r="Q15" s="48">
        <v>-132588.6</v>
      </c>
      <c r="R15" s="48">
        <v>0</v>
      </c>
      <c r="S15" s="48">
        <v>441581.1</v>
      </c>
      <c r="T15" s="48">
        <v>3187336.9</v>
      </c>
      <c r="U15" s="48">
        <f t="shared" si="1"/>
        <v>42.29092454319261</v>
      </c>
      <c r="V15" s="49">
        <v>408850428</v>
      </c>
    </row>
    <row r="16" spans="1:22" s="12" customFormat="1">
      <c r="A16" s="45">
        <f t="shared" si="2"/>
        <v>12</v>
      </c>
      <c r="B16" s="50" t="s">
        <v>310</v>
      </c>
      <c r="C16" s="95">
        <v>476</v>
      </c>
      <c r="D16" s="74" t="s">
        <v>299</v>
      </c>
      <c r="E16" s="47">
        <v>18547475.800000001</v>
      </c>
      <c r="F16" s="47">
        <v>13936751</v>
      </c>
      <c r="G16" s="47">
        <v>32484226.800000001</v>
      </c>
      <c r="H16" s="48">
        <v>2093100.9</v>
      </c>
      <c r="I16" s="48">
        <v>0</v>
      </c>
      <c r="J16" s="48">
        <v>2093100.9</v>
      </c>
      <c r="K16" s="48">
        <v>30391125.899999999</v>
      </c>
      <c r="L16" s="48">
        <v>27267234.699999999</v>
      </c>
      <c r="M16" s="48">
        <v>20649042.800000001</v>
      </c>
      <c r="N16" s="48">
        <v>6618191.9000000004</v>
      </c>
      <c r="O16" s="48">
        <v>500522.6</v>
      </c>
      <c r="P16" s="48">
        <v>4016234.5</v>
      </c>
      <c r="Q16" s="48">
        <v>40333.599999999999</v>
      </c>
      <c r="R16" s="48">
        <v>-3319.3</v>
      </c>
      <c r="S16" s="48">
        <v>304961.09999999998</v>
      </c>
      <c r="T16" s="48">
        <v>2834533.2</v>
      </c>
      <c r="U16" s="48">
        <f t="shared" si="1"/>
        <v>747408.53622546839</v>
      </c>
      <c r="V16" s="49">
        <v>40662</v>
      </c>
    </row>
    <row r="17" spans="1:22" s="12" customFormat="1">
      <c r="A17" s="45">
        <f t="shared" si="2"/>
        <v>13</v>
      </c>
      <c r="B17" s="46" t="s">
        <v>166</v>
      </c>
      <c r="C17" s="95">
        <v>530</v>
      </c>
      <c r="D17" s="74" t="s">
        <v>94</v>
      </c>
      <c r="E17" s="47">
        <v>17318368.800000001</v>
      </c>
      <c r="F17" s="47">
        <v>7169378.2999999998</v>
      </c>
      <c r="G17" s="47">
        <v>24487747.100000001</v>
      </c>
      <c r="H17" s="48">
        <v>7319963.5999999996</v>
      </c>
      <c r="I17" s="48">
        <v>5225047.8</v>
      </c>
      <c r="J17" s="48">
        <v>12545011.4</v>
      </c>
      <c r="K17" s="48">
        <v>11942735.699999999</v>
      </c>
      <c r="L17" s="48">
        <v>24748430.399999999</v>
      </c>
      <c r="M17" s="48">
        <v>18095005</v>
      </c>
      <c r="N17" s="48">
        <v>6653425.4000000004</v>
      </c>
      <c r="O17" s="48">
        <v>56950.2</v>
      </c>
      <c r="P17" s="48">
        <v>3556368.4</v>
      </c>
      <c r="Q17" s="48">
        <v>3827.7</v>
      </c>
      <c r="R17" s="48">
        <v>0</v>
      </c>
      <c r="S17" s="48">
        <v>345621.9</v>
      </c>
      <c r="T17" s="48">
        <v>2812213</v>
      </c>
      <c r="U17" s="48">
        <f t="shared" si="1"/>
        <v>151.78974401757489</v>
      </c>
      <c r="V17" s="49">
        <v>78679464</v>
      </c>
    </row>
    <row r="18" spans="1:22" s="12" customFormat="1">
      <c r="A18" s="45">
        <f t="shared" si="2"/>
        <v>14</v>
      </c>
      <c r="B18" s="46" t="s">
        <v>167</v>
      </c>
      <c r="C18" s="95">
        <v>13</v>
      </c>
      <c r="D18" s="74" t="s">
        <v>37</v>
      </c>
      <c r="E18" s="47">
        <v>20377516.300000001</v>
      </c>
      <c r="F18" s="47">
        <v>15226588.4</v>
      </c>
      <c r="G18" s="47">
        <v>35604104.700000003</v>
      </c>
      <c r="H18" s="48">
        <v>1248466.3</v>
      </c>
      <c r="I18" s="48">
        <v>0</v>
      </c>
      <c r="J18" s="48">
        <v>1248466.3</v>
      </c>
      <c r="K18" s="48">
        <v>34355638.399999999</v>
      </c>
      <c r="L18" s="48">
        <v>6465758.2999999998</v>
      </c>
      <c r="M18" s="48">
        <v>3578599.3</v>
      </c>
      <c r="N18" s="48">
        <v>2887159</v>
      </c>
      <c r="O18" s="48">
        <v>268426.09999999998</v>
      </c>
      <c r="P18" s="48">
        <v>1733914.8</v>
      </c>
      <c r="Q18" s="48">
        <v>1305595.3</v>
      </c>
      <c r="R18" s="48">
        <v>0</v>
      </c>
      <c r="S18" s="48">
        <v>138325.79999999999</v>
      </c>
      <c r="T18" s="48">
        <v>2588939.7999999998</v>
      </c>
      <c r="U18" s="48">
        <f t="shared" si="1"/>
        <v>81206.524765697934</v>
      </c>
      <c r="V18" s="49">
        <v>423065</v>
      </c>
    </row>
    <row r="19" spans="1:22" s="12" customFormat="1">
      <c r="A19" s="45">
        <f t="shared" si="2"/>
        <v>15</v>
      </c>
      <c r="B19" s="46" t="s">
        <v>168</v>
      </c>
      <c r="C19" s="95">
        <v>445</v>
      </c>
      <c r="D19" s="74" t="s">
        <v>38</v>
      </c>
      <c r="E19" s="47">
        <v>7086641.2000000002</v>
      </c>
      <c r="F19" s="47">
        <v>6534501.0999999996</v>
      </c>
      <c r="G19" s="47">
        <v>13621142.300000001</v>
      </c>
      <c r="H19" s="48">
        <v>363966.5</v>
      </c>
      <c r="I19" s="48">
        <v>771440.9</v>
      </c>
      <c r="J19" s="48">
        <v>1135407.3999999999</v>
      </c>
      <c r="K19" s="48">
        <v>12485734.9</v>
      </c>
      <c r="L19" s="48">
        <v>8804259.6999999993</v>
      </c>
      <c r="M19" s="48">
        <v>5222689.5999999996</v>
      </c>
      <c r="N19" s="48">
        <v>3581570.1</v>
      </c>
      <c r="O19" s="48">
        <v>47254.1</v>
      </c>
      <c r="P19" s="48">
        <v>830423.6</v>
      </c>
      <c r="Q19" s="48">
        <v>0</v>
      </c>
      <c r="R19" s="48">
        <v>0</v>
      </c>
      <c r="S19" s="48">
        <v>279840</v>
      </c>
      <c r="T19" s="48">
        <v>2518560.6</v>
      </c>
      <c r="U19" s="48">
        <f t="shared" si="1"/>
        <v>49427.313861793773</v>
      </c>
      <c r="V19" s="49">
        <v>252608</v>
      </c>
    </row>
    <row r="20" spans="1:22" s="12" customFormat="1">
      <c r="A20" s="45">
        <f t="shared" si="2"/>
        <v>16</v>
      </c>
      <c r="B20" s="46" t="s">
        <v>280</v>
      </c>
      <c r="C20" s="95">
        <v>195</v>
      </c>
      <c r="D20" s="74" t="s">
        <v>269</v>
      </c>
      <c r="E20" s="48">
        <v>48744432</v>
      </c>
      <c r="F20" s="48">
        <v>37592174.399999999</v>
      </c>
      <c r="G20" s="48">
        <v>86336606.400000006</v>
      </c>
      <c r="H20" s="48">
        <v>32943246.699999999</v>
      </c>
      <c r="I20" s="48">
        <v>171364.5</v>
      </c>
      <c r="J20" s="48">
        <v>33114611.199999999</v>
      </c>
      <c r="K20" s="48">
        <v>53221995.200000003</v>
      </c>
      <c r="L20" s="48">
        <v>72085176.599999994</v>
      </c>
      <c r="M20" s="48">
        <v>52694682.5</v>
      </c>
      <c r="N20" s="48">
        <v>19390494.100000001</v>
      </c>
      <c r="O20" s="48">
        <v>203583.2</v>
      </c>
      <c r="P20" s="48">
        <v>15738655.800000001</v>
      </c>
      <c r="Q20" s="48">
        <v>-1232209.1000000001</v>
      </c>
      <c r="R20" s="48">
        <v>0</v>
      </c>
      <c r="S20" s="48">
        <v>283228.7</v>
      </c>
      <c r="T20" s="48">
        <v>2339983.7000000002</v>
      </c>
      <c r="U20" s="48">
        <f t="shared" si="1"/>
        <v>404.58385906231592</v>
      </c>
      <c r="V20" s="49">
        <v>131547500</v>
      </c>
    </row>
    <row r="21" spans="1:22" s="12" customFormat="1">
      <c r="A21" s="45">
        <f t="shared" si="2"/>
        <v>17</v>
      </c>
      <c r="B21" s="46" t="s">
        <v>169</v>
      </c>
      <c r="C21" s="95">
        <v>191</v>
      </c>
      <c r="D21" s="74" t="s">
        <v>31</v>
      </c>
      <c r="E21" s="47">
        <v>52336896.5</v>
      </c>
      <c r="F21" s="47">
        <v>21335512.300000001</v>
      </c>
      <c r="G21" s="47">
        <v>73672408.799999997</v>
      </c>
      <c r="H21" s="48">
        <v>61919985.899999999</v>
      </c>
      <c r="I21" s="48">
        <v>797772.3</v>
      </c>
      <c r="J21" s="48">
        <v>62717758.200000003</v>
      </c>
      <c r="K21" s="48">
        <v>10954650.6</v>
      </c>
      <c r="L21" s="48">
        <v>0</v>
      </c>
      <c r="M21" s="48">
        <v>0</v>
      </c>
      <c r="N21" s="48">
        <v>0</v>
      </c>
      <c r="O21" s="48">
        <v>8444218.4000000004</v>
      </c>
      <c r="P21" s="48">
        <v>5508849.2999999998</v>
      </c>
      <c r="Q21" s="48">
        <v>0</v>
      </c>
      <c r="R21" s="48">
        <v>0</v>
      </c>
      <c r="S21" s="48">
        <v>692100</v>
      </c>
      <c r="T21" s="48">
        <v>2243269.1</v>
      </c>
      <c r="U21" s="48">
        <f t="shared" si="1"/>
        <v>3148.5033282365521</v>
      </c>
      <c r="V21" s="49">
        <v>3479320</v>
      </c>
    </row>
    <row r="22" spans="1:22" s="12" customFormat="1">
      <c r="A22" s="45">
        <f t="shared" si="2"/>
        <v>18</v>
      </c>
      <c r="B22" s="46" t="s">
        <v>170</v>
      </c>
      <c r="C22" s="95">
        <v>497</v>
      </c>
      <c r="D22" s="74" t="s">
        <v>113</v>
      </c>
      <c r="E22" s="47">
        <v>32372843.5</v>
      </c>
      <c r="F22" s="47">
        <v>293251044.80000001</v>
      </c>
      <c r="G22" s="47">
        <v>325623888.30000001</v>
      </c>
      <c r="H22" s="48">
        <v>4214034</v>
      </c>
      <c r="I22" s="48">
        <v>66664160.799999997</v>
      </c>
      <c r="J22" s="48">
        <v>70878194.799999997</v>
      </c>
      <c r="K22" s="48">
        <v>254745693.5</v>
      </c>
      <c r="L22" s="48">
        <v>139434015.69999999</v>
      </c>
      <c r="M22" s="48">
        <v>103791137.40000001</v>
      </c>
      <c r="N22" s="48">
        <v>35642878.299999997</v>
      </c>
      <c r="O22" s="48">
        <v>789945.2</v>
      </c>
      <c r="P22" s="48">
        <v>33571875.5</v>
      </c>
      <c r="Q22" s="48">
        <v>-470932.9</v>
      </c>
      <c r="R22" s="48">
        <v>0</v>
      </c>
      <c r="S22" s="48">
        <v>345698.2</v>
      </c>
      <c r="T22" s="48">
        <v>2044316.9</v>
      </c>
      <c r="U22" s="48">
        <f t="shared" si="1"/>
        <v>252.55779642213804</v>
      </c>
      <c r="V22" s="49">
        <v>1008662956</v>
      </c>
    </row>
    <row r="23" spans="1:22" s="12" customFormat="1">
      <c r="A23" s="45">
        <f t="shared" si="2"/>
        <v>19</v>
      </c>
      <c r="B23" s="46" t="s">
        <v>171</v>
      </c>
      <c r="C23" s="95">
        <v>544</v>
      </c>
      <c r="D23" s="74" t="s">
        <v>80</v>
      </c>
      <c r="E23" s="47">
        <v>7565870.0999999996</v>
      </c>
      <c r="F23" s="47">
        <v>27570044.600000001</v>
      </c>
      <c r="G23" s="47">
        <v>35135914.700000003</v>
      </c>
      <c r="H23" s="48">
        <v>5104749.0999999996</v>
      </c>
      <c r="I23" s="48">
        <v>0</v>
      </c>
      <c r="J23" s="48">
        <v>5104749.0999999996</v>
      </c>
      <c r="K23" s="48">
        <v>30031165.600000001</v>
      </c>
      <c r="L23" s="48">
        <v>14212925.1</v>
      </c>
      <c r="M23" s="48">
        <v>10268991.699999999</v>
      </c>
      <c r="N23" s="48">
        <v>3943933.4</v>
      </c>
      <c r="O23" s="48">
        <v>13228.3</v>
      </c>
      <c r="P23" s="48">
        <v>1877673.3</v>
      </c>
      <c r="Q23" s="48">
        <v>118090.2</v>
      </c>
      <c r="R23" s="48">
        <v>0</v>
      </c>
      <c r="S23" s="48">
        <v>213064.9</v>
      </c>
      <c r="T23" s="48">
        <v>1984513.7</v>
      </c>
      <c r="U23" s="48">
        <f t="shared" si="1"/>
        <v>532.30702802346809</v>
      </c>
      <c r="V23" s="49">
        <v>56417000</v>
      </c>
    </row>
    <row r="24" spans="1:22" s="12" customFormat="1">
      <c r="A24" s="45">
        <f t="shared" si="2"/>
        <v>20</v>
      </c>
      <c r="B24" s="46" t="s">
        <v>172</v>
      </c>
      <c r="C24" s="95">
        <v>8</v>
      </c>
      <c r="D24" s="74" t="s">
        <v>71</v>
      </c>
      <c r="E24" s="47">
        <v>23598156.600000001</v>
      </c>
      <c r="F24" s="47">
        <v>1537815</v>
      </c>
      <c r="G24" s="47">
        <v>25135971.600000001</v>
      </c>
      <c r="H24" s="48">
        <v>7294041.5999999996</v>
      </c>
      <c r="I24" s="48">
        <v>0</v>
      </c>
      <c r="J24" s="48">
        <v>7294041.5999999996</v>
      </c>
      <c r="K24" s="48">
        <v>17841930</v>
      </c>
      <c r="L24" s="48">
        <v>8777564</v>
      </c>
      <c r="M24" s="48">
        <v>7276501.9000000004</v>
      </c>
      <c r="N24" s="48">
        <v>1501062.1</v>
      </c>
      <c r="O24" s="48">
        <v>1049612.2</v>
      </c>
      <c r="P24" s="48">
        <v>740817.1</v>
      </c>
      <c r="Q24" s="48">
        <v>139231.20000000001</v>
      </c>
      <c r="R24" s="48">
        <v>0</v>
      </c>
      <c r="S24" s="48">
        <v>229310.8</v>
      </c>
      <c r="T24" s="48">
        <v>1719777.6</v>
      </c>
      <c r="U24" s="48">
        <f t="shared" si="1"/>
        <v>131902.5475729304</v>
      </c>
      <c r="V24" s="49">
        <v>135266</v>
      </c>
    </row>
    <row r="25" spans="1:22" s="12" customFormat="1">
      <c r="A25" s="45">
        <f t="shared" si="2"/>
        <v>21</v>
      </c>
      <c r="B25" s="46" t="s">
        <v>173</v>
      </c>
      <c r="C25" s="95">
        <v>309</v>
      </c>
      <c r="D25" s="74" t="s">
        <v>96</v>
      </c>
      <c r="E25" s="47">
        <v>22621035.300000001</v>
      </c>
      <c r="F25" s="47">
        <v>69907671.5</v>
      </c>
      <c r="G25" s="47">
        <v>92528706.799999997</v>
      </c>
      <c r="H25" s="48">
        <v>38395557.799999997</v>
      </c>
      <c r="I25" s="48">
        <v>25113058</v>
      </c>
      <c r="J25" s="48">
        <v>63508615.799999997</v>
      </c>
      <c r="K25" s="48">
        <v>29020091</v>
      </c>
      <c r="L25" s="48">
        <v>80294549.200000003</v>
      </c>
      <c r="M25" s="48">
        <v>74141715</v>
      </c>
      <c r="N25" s="48">
        <v>6152834.2000000002</v>
      </c>
      <c r="O25" s="48">
        <v>4817284.9000000004</v>
      </c>
      <c r="P25" s="48">
        <v>7868584.5999999996</v>
      </c>
      <c r="Q25" s="48">
        <v>-1232674.3999999999</v>
      </c>
      <c r="R25" s="48">
        <v>0</v>
      </c>
      <c r="S25" s="48">
        <v>351394.1</v>
      </c>
      <c r="T25" s="48">
        <v>1517466</v>
      </c>
      <c r="U25" s="48">
        <f t="shared" si="1"/>
        <v>2853.4317079180614</v>
      </c>
      <c r="V25" s="49">
        <v>10170242</v>
      </c>
    </row>
    <row r="26" spans="1:22" s="12" customFormat="1">
      <c r="A26" s="45">
        <f t="shared" si="2"/>
        <v>22</v>
      </c>
      <c r="B26" s="46" t="s">
        <v>174</v>
      </c>
      <c r="C26" s="95">
        <v>542</v>
      </c>
      <c r="D26" s="74" t="s">
        <v>76</v>
      </c>
      <c r="E26" s="47">
        <v>2593636.7000000002</v>
      </c>
      <c r="F26" s="47">
        <v>73147410.099999994</v>
      </c>
      <c r="G26" s="47">
        <v>75741046.799999997</v>
      </c>
      <c r="H26" s="48">
        <v>2662129.6</v>
      </c>
      <c r="I26" s="48">
        <v>0</v>
      </c>
      <c r="J26" s="48">
        <v>2662129.6</v>
      </c>
      <c r="K26" s="48">
        <v>73078917.200000003</v>
      </c>
      <c r="L26" s="48">
        <v>0</v>
      </c>
      <c r="M26" s="48">
        <v>0</v>
      </c>
      <c r="N26" s="48">
        <v>0</v>
      </c>
      <c r="O26" s="48">
        <v>3143666.7</v>
      </c>
      <c r="P26" s="48">
        <v>1744620.5</v>
      </c>
      <c r="Q26" s="48">
        <v>0</v>
      </c>
      <c r="R26" s="48">
        <v>0</v>
      </c>
      <c r="S26" s="48">
        <v>143686.79999999999</v>
      </c>
      <c r="T26" s="48">
        <v>1255359.3999999999</v>
      </c>
      <c r="U26" s="48">
        <f t="shared" si="1"/>
        <v>3528.7936639155705</v>
      </c>
      <c r="V26" s="49">
        <v>20709320</v>
      </c>
    </row>
    <row r="27" spans="1:22" s="12" customFormat="1">
      <c r="A27" s="45">
        <f t="shared" si="2"/>
        <v>23</v>
      </c>
      <c r="B27" s="46" t="s">
        <v>175</v>
      </c>
      <c r="C27" s="95">
        <v>528</v>
      </c>
      <c r="D27" s="74" t="s">
        <v>65</v>
      </c>
      <c r="E27" s="47">
        <v>2683718.1</v>
      </c>
      <c r="F27" s="47">
        <v>6059057</v>
      </c>
      <c r="G27" s="47">
        <v>8742775.0999999996</v>
      </c>
      <c r="H27" s="48">
        <v>285321.3</v>
      </c>
      <c r="I27" s="48">
        <v>0</v>
      </c>
      <c r="J27" s="48">
        <v>285321.3</v>
      </c>
      <c r="K27" s="48">
        <v>8457453.8000000007</v>
      </c>
      <c r="L27" s="48">
        <v>2059006</v>
      </c>
      <c r="M27" s="48">
        <v>0</v>
      </c>
      <c r="N27" s="48">
        <v>2059006</v>
      </c>
      <c r="O27" s="48">
        <v>240719.7</v>
      </c>
      <c r="P27" s="48">
        <v>916331.9</v>
      </c>
      <c r="Q27" s="48">
        <v>14.1</v>
      </c>
      <c r="R27" s="48">
        <v>0</v>
      </c>
      <c r="S27" s="48">
        <v>138339.4</v>
      </c>
      <c r="T27" s="48">
        <v>1245068.5</v>
      </c>
      <c r="U27" s="48">
        <f t="shared" si="1"/>
        <v>107.67928004176974</v>
      </c>
      <c r="V27" s="49">
        <v>78543001</v>
      </c>
    </row>
    <row r="28" spans="1:22" s="12" customFormat="1">
      <c r="A28" s="45">
        <f t="shared" si="2"/>
        <v>24</v>
      </c>
      <c r="B28" s="46" t="s">
        <v>176</v>
      </c>
      <c r="C28" s="95">
        <v>444</v>
      </c>
      <c r="D28" s="74" t="s">
        <v>77</v>
      </c>
      <c r="E28" s="47">
        <v>5450365.5</v>
      </c>
      <c r="F28" s="47">
        <v>1520901.1</v>
      </c>
      <c r="G28" s="47">
        <v>6971266.5999999996</v>
      </c>
      <c r="H28" s="48">
        <v>935122.6</v>
      </c>
      <c r="I28" s="48">
        <v>793231</v>
      </c>
      <c r="J28" s="48">
        <v>1728353.6</v>
      </c>
      <c r="K28" s="48">
        <v>5242913</v>
      </c>
      <c r="L28" s="48">
        <v>6987983.2999999998</v>
      </c>
      <c r="M28" s="48">
        <v>4452785.5</v>
      </c>
      <c r="N28" s="48">
        <v>2535197.7999999998</v>
      </c>
      <c r="O28" s="48">
        <v>57113.5</v>
      </c>
      <c r="P28" s="48">
        <v>1252084.5</v>
      </c>
      <c r="Q28" s="48">
        <v>8.1</v>
      </c>
      <c r="R28" s="48">
        <v>0</v>
      </c>
      <c r="S28" s="48">
        <v>140605.4</v>
      </c>
      <c r="T28" s="48">
        <v>1199629.5</v>
      </c>
      <c r="U28" s="48">
        <f t="shared" si="1"/>
        <v>6319.6407520533448</v>
      </c>
      <c r="V28" s="49">
        <v>829622</v>
      </c>
    </row>
    <row r="29" spans="1:22" s="12" customFormat="1">
      <c r="A29" s="45">
        <f t="shared" si="2"/>
        <v>25</v>
      </c>
      <c r="B29" s="46" t="s">
        <v>177</v>
      </c>
      <c r="C29" s="95">
        <v>208</v>
      </c>
      <c r="D29" s="74" t="s">
        <v>75</v>
      </c>
      <c r="E29" s="47">
        <v>23949698.399999999</v>
      </c>
      <c r="F29" s="47">
        <v>3668861.4</v>
      </c>
      <c r="G29" s="47">
        <v>27618559.800000001</v>
      </c>
      <c r="H29" s="48">
        <v>21874884.300000001</v>
      </c>
      <c r="I29" s="48">
        <v>0</v>
      </c>
      <c r="J29" s="48">
        <v>21874884.300000001</v>
      </c>
      <c r="K29" s="48">
        <v>5743675.5</v>
      </c>
      <c r="L29" s="48">
        <v>32218052.800000001</v>
      </c>
      <c r="M29" s="48">
        <v>30036524.199999999</v>
      </c>
      <c r="N29" s="48">
        <v>2181528.6</v>
      </c>
      <c r="O29" s="48">
        <v>3856831.8</v>
      </c>
      <c r="P29" s="48">
        <v>4805240.3</v>
      </c>
      <c r="Q29" s="48">
        <v>-1645.1</v>
      </c>
      <c r="R29" s="48">
        <v>0</v>
      </c>
      <c r="S29" s="48">
        <v>123147.5</v>
      </c>
      <c r="T29" s="48">
        <v>1108327.5</v>
      </c>
      <c r="U29" s="48">
        <f t="shared" si="1"/>
        <v>1511.2068210215903</v>
      </c>
      <c r="V29" s="49">
        <v>3800721</v>
      </c>
    </row>
    <row r="30" spans="1:22" s="12" customFormat="1">
      <c r="A30" s="45">
        <f t="shared" si="2"/>
        <v>26</v>
      </c>
      <c r="B30" s="46" t="s">
        <v>178</v>
      </c>
      <c r="C30" s="95">
        <v>454</v>
      </c>
      <c r="D30" s="74" t="s">
        <v>157</v>
      </c>
      <c r="E30" s="47">
        <v>54.3</v>
      </c>
      <c r="F30" s="47">
        <v>5003729.0999999996</v>
      </c>
      <c r="G30" s="47">
        <v>5003783.4000000004</v>
      </c>
      <c r="H30" s="48">
        <v>2584556.7000000002</v>
      </c>
      <c r="I30" s="48">
        <v>4754303.7</v>
      </c>
      <c r="J30" s="48">
        <v>7338860.4000000004</v>
      </c>
      <c r="K30" s="48">
        <v>-2335077</v>
      </c>
      <c r="L30" s="48">
        <v>1341662.6000000001</v>
      </c>
      <c r="M30" s="48">
        <v>493395.8</v>
      </c>
      <c r="N30" s="48">
        <v>848266.8</v>
      </c>
      <c r="O30" s="48">
        <v>0</v>
      </c>
      <c r="P30" s="48">
        <v>134493.70000000001</v>
      </c>
      <c r="Q30" s="48">
        <v>0</v>
      </c>
      <c r="R30" s="48">
        <v>0</v>
      </c>
      <c r="S30" s="48">
        <v>71377.3</v>
      </c>
      <c r="T30" s="48">
        <v>642395.80000000005</v>
      </c>
      <c r="U30" s="48">
        <f t="shared" si="1"/>
        <v>-13017.996019467811</v>
      </c>
      <c r="V30" s="49">
        <v>179373</v>
      </c>
    </row>
    <row r="31" spans="1:22" s="12" customFormat="1">
      <c r="A31" s="45">
        <f t="shared" si="2"/>
        <v>27</v>
      </c>
      <c r="B31" s="48" t="s">
        <v>284</v>
      </c>
      <c r="C31" s="95">
        <v>234</v>
      </c>
      <c r="D31" s="60" t="s">
        <v>282</v>
      </c>
      <c r="E31" s="48">
        <v>7051678.9000000004</v>
      </c>
      <c r="F31" s="48">
        <v>2248534.5</v>
      </c>
      <c r="G31" s="48">
        <v>9300213.4000000004</v>
      </c>
      <c r="H31" s="48">
        <v>8417882.6999999993</v>
      </c>
      <c r="I31" s="48">
        <v>0</v>
      </c>
      <c r="J31" s="48">
        <v>8417882.6999999993</v>
      </c>
      <c r="K31" s="48">
        <v>882330.7</v>
      </c>
      <c r="L31" s="48">
        <v>7340486.2000000002</v>
      </c>
      <c r="M31" s="48">
        <v>6140741.5</v>
      </c>
      <c r="N31" s="48">
        <v>1199744.7</v>
      </c>
      <c r="O31" s="48">
        <v>398597.6</v>
      </c>
      <c r="P31" s="48">
        <v>889887.2</v>
      </c>
      <c r="Q31" s="48">
        <v>8148.9</v>
      </c>
      <c r="R31" s="48">
        <v>-20273.400000000001</v>
      </c>
      <c r="S31" s="48">
        <v>72126.3</v>
      </c>
      <c r="T31" s="48">
        <v>624204.30000000005</v>
      </c>
      <c r="U31" s="48">
        <f t="shared" si="1"/>
        <v>3639.0173386564602</v>
      </c>
      <c r="V31" s="49">
        <v>242464</v>
      </c>
    </row>
    <row r="32" spans="1:22" s="12" customFormat="1">
      <c r="A32" s="45">
        <f t="shared" si="2"/>
        <v>28</v>
      </c>
      <c r="B32" s="46" t="s">
        <v>179</v>
      </c>
      <c r="C32" s="95">
        <v>17</v>
      </c>
      <c r="D32" s="74" t="s">
        <v>33</v>
      </c>
      <c r="E32" s="47">
        <v>6084817.9000000004</v>
      </c>
      <c r="F32" s="47">
        <v>7493807.0999999996</v>
      </c>
      <c r="G32" s="47">
        <v>13578625</v>
      </c>
      <c r="H32" s="48">
        <v>2275825.7999999998</v>
      </c>
      <c r="I32" s="48">
        <v>0</v>
      </c>
      <c r="J32" s="48">
        <v>2275825.7999999998</v>
      </c>
      <c r="K32" s="48">
        <v>11302799.199999999</v>
      </c>
      <c r="L32" s="48">
        <v>13956840.6</v>
      </c>
      <c r="M32" s="48">
        <v>10293977.9</v>
      </c>
      <c r="N32" s="48">
        <v>3662862.7</v>
      </c>
      <c r="O32" s="48">
        <v>112049.3</v>
      </c>
      <c r="P32" s="48">
        <v>3251895.6</v>
      </c>
      <c r="Q32" s="48">
        <v>1234</v>
      </c>
      <c r="R32" s="48">
        <v>0</v>
      </c>
      <c r="S32" s="48">
        <v>54410.9</v>
      </c>
      <c r="T32" s="48">
        <v>469839.5</v>
      </c>
      <c r="U32" s="48">
        <f t="shared" si="1"/>
        <v>64907.883493361507</v>
      </c>
      <c r="V32" s="49">
        <v>174136</v>
      </c>
    </row>
    <row r="33" spans="1:22" s="12" customFormat="1">
      <c r="A33" s="45">
        <f t="shared" si="2"/>
        <v>29</v>
      </c>
      <c r="B33" s="46" t="s">
        <v>180</v>
      </c>
      <c r="C33" s="95">
        <v>94</v>
      </c>
      <c r="D33" s="74" t="s">
        <v>118</v>
      </c>
      <c r="E33" s="47">
        <v>2921556.5</v>
      </c>
      <c r="F33" s="47">
        <v>1846143.4</v>
      </c>
      <c r="G33" s="47">
        <v>4767699.9000000004</v>
      </c>
      <c r="H33" s="48">
        <v>693471.1</v>
      </c>
      <c r="I33" s="48">
        <v>1250000</v>
      </c>
      <c r="J33" s="48">
        <v>1943471.1</v>
      </c>
      <c r="K33" s="48">
        <v>2824228.8</v>
      </c>
      <c r="L33" s="48">
        <v>4135466.7</v>
      </c>
      <c r="M33" s="48">
        <v>2359143.4</v>
      </c>
      <c r="N33" s="48">
        <v>1776323.3</v>
      </c>
      <c r="O33" s="48">
        <v>2730.2</v>
      </c>
      <c r="P33" s="48">
        <v>1270389.3</v>
      </c>
      <c r="Q33" s="48">
        <v>309.89999999999998</v>
      </c>
      <c r="R33" s="48">
        <v>0</v>
      </c>
      <c r="S33" s="48">
        <v>51924.3</v>
      </c>
      <c r="T33" s="48">
        <v>457049.8</v>
      </c>
      <c r="U33" s="48">
        <f t="shared" si="1"/>
        <v>25056.148195464706</v>
      </c>
      <c r="V33" s="49">
        <v>112716</v>
      </c>
    </row>
    <row r="34" spans="1:22" s="12" customFormat="1">
      <c r="A34" s="45">
        <f t="shared" si="2"/>
        <v>30</v>
      </c>
      <c r="B34" s="46" t="s">
        <v>181</v>
      </c>
      <c r="C34" s="95">
        <v>484</v>
      </c>
      <c r="D34" s="74" t="s">
        <v>115</v>
      </c>
      <c r="E34" s="47">
        <v>1156893.5</v>
      </c>
      <c r="F34" s="47">
        <v>15256069.6</v>
      </c>
      <c r="G34" s="47">
        <v>16412963.1</v>
      </c>
      <c r="H34" s="48">
        <v>8917599.6999999993</v>
      </c>
      <c r="I34" s="48">
        <v>10000000</v>
      </c>
      <c r="J34" s="48">
        <v>18917599.699999999</v>
      </c>
      <c r="K34" s="48">
        <v>-2504636.6</v>
      </c>
      <c r="L34" s="48">
        <v>7377480</v>
      </c>
      <c r="M34" s="48">
        <v>519314.6</v>
      </c>
      <c r="N34" s="48">
        <v>6858165.4000000004</v>
      </c>
      <c r="O34" s="48">
        <v>362496.3</v>
      </c>
      <c r="P34" s="48">
        <v>6440426.5</v>
      </c>
      <c r="Q34" s="48">
        <v>-315337.7</v>
      </c>
      <c r="R34" s="48">
        <v>-39567.1</v>
      </c>
      <c r="S34" s="48">
        <v>36249.599999999999</v>
      </c>
      <c r="T34" s="48">
        <v>389080.8</v>
      </c>
      <c r="U34" s="48">
        <f t="shared" si="1"/>
        <v>-68.046261870769413</v>
      </c>
      <c r="V34" s="49">
        <v>36807850</v>
      </c>
    </row>
    <row r="35" spans="1:22" s="12" customFormat="1">
      <c r="A35" s="45">
        <f t="shared" si="2"/>
        <v>31</v>
      </c>
      <c r="B35" s="46" t="s">
        <v>182</v>
      </c>
      <c r="C35" s="95">
        <v>54</v>
      </c>
      <c r="D35" s="74" t="s">
        <v>100</v>
      </c>
      <c r="E35" s="47">
        <v>400077.3</v>
      </c>
      <c r="F35" s="47">
        <v>1125352.3</v>
      </c>
      <c r="G35" s="47">
        <v>1525429.6</v>
      </c>
      <c r="H35" s="48">
        <v>193812.1</v>
      </c>
      <c r="I35" s="48">
        <v>141666.70000000001</v>
      </c>
      <c r="J35" s="48">
        <v>335478.8</v>
      </c>
      <c r="K35" s="48">
        <v>1189950.8</v>
      </c>
      <c r="L35" s="48">
        <v>0</v>
      </c>
      <c r="M35" s="48">
        <v>0</v>
      </c>
      <c r="N35" s="48">
        <v>0</v>
      </c>
      <c r="O35" s="48">
        <v>567241.80000000005</v>
      </c>
      <c r="P35" s="48">
        <v>153529.60000000001</v>
      </c>
      <c r="Q35" s="48">
        <v>0</v>
      </c>
      <c r="R35" s="48">
        <v>0</v>
      </c>
      <c r="S35" s="48">
        <v>44084.9</v>
      </c>
      <c r="T35" s="48">
        <v>369627.3</v>
      </c>
      <c r="U35" s="48">
        <f t="shared" si="1"/>
        <v>616.85109894752554</v>
      </c>
      <c r="V35" s="49">
        <v>1929073</v>
      </c>
    </row>
    <row r="36" spans="1:22" s="12" customFormat="1">
      <c r="A36" s="45">
        <f t="shared" si="2"/>
        <v>32</v>
      </c>
      <c r="B36" s="46" t="s">
        <v>276</v>
      </c>
      <c r="C36" s="95">
        <v>9</v>
      </c>
      <c r="D36" s="74" t="s">
        <v>265</v>
      </c>
      <c r="E36" s="48">
        <v>2666058.1</v>
      </c>
      <c r="F36" s="48">
        <v>1557750.2</v>
      </c>
      <c r="G36" s="48">
        <v>4223808.3</v>
      </c>
      <c r="H36" s="48">
        <v>2730326.5</v>
      </c>
      <c r="I36" s="48">
        <v>695611.9</v>
      </c>
      <c r="J36" s="48">
        <v>3425938.4</v>
      </c>
      <c r="K36" s="48">
        <v>797869.9</v>
      </c>
      <c r="L36" s="48">
        <v>220567.9</v>
      </c>
      <c r="M36" s="48">
        <v>191299.8</v>
      </c>
      <c r="N36" s="48">
        <v>29268.1</v>
      </c>
      <c r="O36" s="48">
        <v>1505542.6</v>
      </c>
      <c r="P36" s="48">
        <v>1173709.8</v>
      </c>
      <c r="Q36" s="48">
        <v>435.4</v>
      </c>
      <c r="R36" s="48">
        <v>0</v>
      </c>
      <c r="S36" s="48">
        <v>37852.699999999997</v>
      </c>
      <c r="T36" s="48">
        <v>323683.59999999998</v>
      </c>
      <c r="U36" s="48">
        <f>(K36/V36)*1000</f>
        <v>1682.6876355016409</v>
      </c>
      <c r="V36" s="49">
        <v>474164</v>
      </c>
    </row>
    <row r="37" spans="1:22" s="12" customFormat="1">
      <c r="A37" s="45">
        <f t="shared" si="2"/>
        <v>33</v>
      </c>
      <c r="B37" s="46" t="s">
        <v>183</v>
      </c>
      <c r="C37" s="95">
        <v>34</v>
      </c>
      <c r="D37" s="74" t="s">
        <v>74</v>
      </c>
      <c r="E37" s="47">
        <v>3406950.2</v>
      </c>
      <c r="F37" s="47">
        <v>220329.3</v>
      </c>
      <c r="G37" s="47">
        <v>3627279.5</v>
      </c>
      <c r="H37" s="48">
        <v>1008239.2</v>
      </c>
      <c r="I37" s="48">
        <v>38803.699999999997</v>
      </c>
      <c r="J37" s="48">
        <v>1047042.9</v>
      </c>
      <c r="K37" s="48">
        <v>2580236.6</v>
      </c>
      <c r="L37" s="48">
        <v>392406.8</v>
      </c>
      <c r="M37" s="48">
        <v>200587.9</v>
      </c>
      <c r="N37" s="48">
        <v>191818.9</v>
      </c>
      <c r="O37" s="48">
        <v>5921.6</v>
      </c>
      <c r="P37" s="48">
        <v>237507.3</v>
      </c>
      <c r="Q37" s="48">
        <v>398910.7</v>
      </c>
      <c r="R37" s="48">
        <v>0</v>
      </c>
      <c r="S37" s="48">
        <v>38754</v>
      </c>
      <c r="T37" s="48">
        <v>320389.90000000002</v>
      </c>
      <c r="U37" s="48">
        <f>(K37/V37)*1000</f>
        <v>39476.096202686575</v>
      </c>
      <c r="V37" s="49">
        <v>65362</v>
      </c>
    </row>
    <row r="38" spans="1:22" s="12" customFormat="1">
      <c r="A38" s="45">
        <f t="shared" si="2"/>
        <v>34</v>
      </c>
      <c r="B38" s="46" t="s">
        <v>184</v>
      </c>
      <c r="C38" s="95">
        <v>543</v>
      </c>
      <c r="D38" s="74" t="s">
        <v>27</v>
      </c>
      <c r="E38" s="47">
        <v>1377002.3</v>
      </c>
      <c r="F38" s="47">
        <v>3658661.1</v>
      </c>
      <c r="G38" s="47">
        <v>5035663.4000000004</v>
      </c>
      <c r="H38" s="48">
        <v>264225.5</v>
      </c>
      <c r="I38" s="48">
        <v>997000</v>
      </c>
      <c r="J38" s="48">
        <v>1261225.5</v>
      </c>
      <c r="K38" s="48">
        <v>3774437.9</v>
      </c>
      <c r="L38" s="48">
        <v>3877499.8</v>
      </c>
      <c r="M38" s="48">
        <v>2303172.6</v>
      </c>
      <c r="N38" s="48">
        <v>1574327.2</v>
      </c>
      <c r="O38" s="48">
        <v>52181.8</v>
      </c>
      <c r="P38" s="48">
        <v>1333881.2</v>
      </c>
      <c r="Q38" s="48">
        <v>8299.9</v>
      </c>
      <c r="R38" s="48">
        <v>0</v>
      </c>
      <c r="S38" s="48">
        <v>30377.1</v>
      </c>
      <c r="T38" s="48">
        <v>270550.59999999998</v>
      </c>
      <c r="U38" s="48">
        <f>(K38/V38)*1000</f>
        <v>109.55602911448943</v>
      </c>
      <c r="V38" s="49">
        <v>34452124</v>
      </c>
    </row>
    <row r="39" spans="1:22" s="12" customFormat="1">
      <c r="A39" s="45">
        <f t="shared" si="2"/>
        <v>35</v>
      </c>
      <c r="B39" s="46" t="s">
        <v>185</v>
      </c>
      <c r="C39" s="95">
        <v>44</v>
      </c>
      <c r="D39" s="74" t="s">
        <v>103</v>
      </c>
      <c r="E39" s="47">
        <v>4906405.2</v>
      </c>
      <c r="F39" s="47">
        <v>11747485.300000001</v>
      </c>
      <c r="G39" s="47">
        <v>16653890.5</v>
      </c>
      <c r="H39" s="48">
        <v>165655.79999999999</v>
      </c>
      <c r="I39" s="48">
        <v>84773.5</v>
      </c>
      <c r="J39" s="48">
        <v>250429.3</v>
      </c>
      <c r="K39" s="48">
        <v>16403461.199999999</v>
      </c>
      <c r="L39" s="48">
        <v>3161349.9</v>
      </c>
      <c r="M39" s="48">
        <v>1150111.8999999999</v>
      </c>
      <c r="N39" s="48">
        <v>2011238</v>
      </c>
      <c r="O39" s="48">
        <v>272331.8</v>
      </c>
      <c r="P39" s="48">
        <v>1975425.6</v>
      </c>
      <c r="Q39" s="48">
        <v>18759.599999999999</v>
      </c>
      <c r="R39" s="48">
        <v>0</v>
      </c>
      <c r="S39" s="48">
        <v>74359.399999999994</v>
      </c>
      <c r="T39" s="48">
        <v>252544.4</v>
      </c>
      <c r="U39" s="48">
        <f>(K39/V39)*1000</f>
        <v>13784.618099586296</v>
      </c>
      <c r="V39" s="49">
        <v>1189983</v>
      </c>
    </row>
    <row r="40" spans="1:22" s="12" customFormat="1">
      <c r="A40" s="45">
        <f t="shared" si="2"/>
        <v>36</v>
      </c>
      <c r="B40" s="46" t="s">
        <v>279</v>
      </c>
      <c r="C40" s="95">
        <v>214</v>
      </c>
      <c r="D40" s="74" t="s">
        <v>268</v>
      </c>
      <c r="E40" s="48">
        <v>677846.6</v>
      </c>
      <c r="F40" s="48">
        <v>6402316.5999999996</v>
      </c>
      <c r="G40" s="48">
        <v>7080163.2000000002</v>
      </c>
      <c r="H40" s="48">
        <v>6333977.9000000004</v>
      </c>
      <c r="I40" s="48">
        <v>0</v>
      </c>
      <c r="J40" s="48">
        <v>6333977.9000000004</v>
      </c>
      <c r="K40" s="48">
        <v>746185.3</v>
      </c>
      <c r="L40" s="48">
        <v>1200624.3</v>
      </c>
      <c r="M40" s="48">
        <v>0</v>
      </c>
      <c r="N40" s="48">
        <v>1200624.3</v>
      </c>
      <c r="O40" s="48">
        <v>0</v>
      </c>
      <c r="P40" s="48">
        <v>1012665.5</v>
      </c>
      <c r="Q40" s="48">
        <v>0</v>
      </c>
      <c r="R40" s="48">
        <v>0</v>
      </c>
      <c r="S40" s="48">
        <v>0</v>
      </c>
      <c r="T40" s="48">
        <v>187958.8</v>
      </c>
      <c r="U40" s="48">
        <f>(K40/V40)*1000</f>
        <v>6503.4409126959918</v>
      </c>
      <c r="V40" s="49">
        <v>114737</v>
      </c>
    </row>
    <row r="41" spans="1:22" s="12" customFormat="1">
      <c r="A41" s="45">
        <f t="shared" si="2"/>
        <v>37</v>
      </c>
      <c r="B41" s="46" t="s">
        <v>186</v>
      </c>
      <c r="C41" s="95">
        <v>217</v>
      </c>
      <c r="D41" s="74" t="s">
        <v>107</v>
      </c>
      <c r="E41" s="47">
        <v>416818.4</v>
      </c>
      <c r="F41" s="47">
        <v>3201061.6</v>
      </c>
      <c r="G41" s="47">
        <v>3617880</v>
      </c>
      <c r="H41" s="48">
        <v>668456.1</v>
      </c>
      <c r="I41" s="48">
        <v>0</v>
      </c>
      <c r="J41" s="48">
        <v>668456.1</v>
      </c>
      <c r="K41" s="48">
        <v>2949423.9</v>
      </c>
      <c r="L41" s="48">
        <v>3418233.3</v>
      </c>
      <c r="M41" s="48">
        <v>2626058.6</v>
      </c>
      <c r="N41" s="48">
        <v>792174.7</v>
      </c>
      <c r="O41" s="48">
        <v>21.8</v>
      </c>
      <c r="P41" s="48">
        <v>596250.19999999995</v>
      </c>
      <c r="Q41" s="48">
        <v>-1342.6</v>
      </c>
      <c r="R41" s="48">
        <v>0</v>
      </c>
      <c r="S41" s="48">
        <v>25341.8</v>
      </c>
      <c r="T41" s="48">
        <v>169261.9</v>
      </c>
      <c r="U41" s="48">
        <f>(K41/V41)*1000</f>
        <v>18055.965448212111</v>
      </c>
      <c r="V41" s="49">
        <v>163349</v>
      </c>
    </row>
    <row r="42" spans="1:22" s="12" customFormat="1">
      <c r="A42" s="45">
        <f t="shared" si="2"/>
        <v>38</v>
      </c>
      <c r="B42" s="46" t="s">
        <v>320</v>
      </c>
      <c r="C42" s="95">
        <v>409</v>
      </c>
      <c r="D42" s="74" t="s">
        <v>308</v>
      </c>
      <c r="E42" s="47">
        <v>1043323.4</v>
      </c>
      <c r="F42" s="47">
        <v>907375.9</v>
      </c>
      <c r="G42" s="47">
        <v>1950699.3</v>
      </c>
      <c r="H42" s="48">
        <v>1199874.2</v>
      </c>
      <c r="I42" s="48">
        <v>0</v>
      </c>
      <c r="J42" s="48">
        <v>1199874.2</v>
      </c>
      <c r="K42" s="48">
        <v>750825.1</v>
      </c>
      <c r="L42" s="48">
        <v>883437.4</v>
      </c>
      <c r="M42" s="48">
        <v>539482.1</v>
      </c>
      <c r="N42" s="48">
        <v>343955.3</v>
      </c>
      <c r="O42" s="48">
        <v>0</v>
      </c>
      <c r="P42" s="48">
        <v>169101.3</v>
      </c>
      <c r="Q42" s="48">
        <v>-21257.1</v>
      </c>
      <c r="R42" s="48">
        <v>0</v>
      </c>
      <c r="S42" s="48">
        <v>12556.3</v>
      </c>
      <c r="T42" s="48">
        <v>141040.6</v>
      </c>
      <c r="U42" s="48">
        <f>(K42/V42)*1000</f>
        <v>6393.4288171530261</v>
      </c>
      <c r="V42" s="49">
        <v>117437</v>
      </c>
    </row>
    <row r="43" spans="1:22" s="12" customFormat="1">
      <c r="A43" s="45">
        <f t="shared" si="2"/>
        <v>39</v>
      </c>
      <c r="B43" s="46" t="s">
        <v>187</v>
      </c>
      <c r="C43" s="95">
        <v>525</v>
      </c>
      <c r="D43" s="74" t="s">
        <v>61</v>
      </c>
      <c r="E43" s="47">
        <v>424179.8</v>
      </c>
      <c r="F43" s="47">
        <v>4201992.0999999996</v>
      </c>
      <c r="G43" s="47">
        <v>4626171.9000000004</v>
      </c>
      <c r="H43" s="48">
        <v>184563.1</v>
      </c>
      <c r="I43" s="48">
        <v>0</v>
      </c>
      <c r="J43" s="48">
        <v>184563.1</v>
      </c>
      <c r="K43" s="48">
        <v>4441608.8</v>
      </c>
      <c r="L43" s="48">
        <v>744226.5</v>
      </c>
      <c r="M43" s="48">
        <v>185076.1</v>
      </c>
      <c r="N43" s="48">
        <v>559150.4</v>
      </c>
      <c r="O43" s="48">
        <v>62725.8</v>
      </c>
      <c r="P43" s="48">
        <v>471090.3</v>
      </c>
      <c r="Q43" s="48">
        <v>-10025.4</v>
      </c>
      <c r="R43" s="48">
        <v>0</v>
      </c>
      <c r="S43" s="48">
        <v>14918.8</v>
      </c>
      <c r="T43" s="48">
        <v>125841.7</v>
      </c>
      <c r="U43" s="48">
        <f>(K43/V43)*1000</f>
        <v>85.220605156427354</v>
      </c>
      <c r="V43" s="49">
        <v>52118954</v>
      </c>
    </row>
    <row r="44" spans="1:22" s="12" customFormat="1">
      <c r="A44" s="45">
        <f t="shared" si="2"/>
        <v>40</v>
      </c>
      <c r="B44" s="46" t="s">
        <v>188</v>
      </c>
      <c r="C44" s="95">
        <v>369</v>
      </c>
      <c r="D44" s="74" t="s">
        <v>34</v>
      </c>
      <c r="E44" s="47">
        <v>1243689.3999999999</v>
      </c>
      <c r="F44" s="47">
        <v>1295639.5</v>
      </c>
      <c r="G44" s="47">
        <v>2539328.9</v>
      </c>
      <c r="H44" s="48">
        <v>164638.79999999999</v>
      </c>
      <c r="I44" s="48">
        <v>37092.199999999997</v>
      </c>
      <c r="J44" s="48">
        <v>201731</v>
      </c>
      <c r="K44" s="48">
        <v>2337597.9</v>
      </c>
      <c r="L44" s="48">
        <v>1433633.7</v>
      </c>
      <c r="M44" s="48">
        <v>909002.4</v>
      </c>
      <c r="N44" s="48">
        <v>524631.30000000005</v>
      </c>
      <c r="O44" s="48">
        <v>90.5</v>
      </c>
      <c r="P44" s="48">
        <v>384992.9</v>
      </c>
      <c r="Q44" s="48">
        <v>0</v>
      </c>
      <c r="R44" s="48">
        <v>0</v>
      </c>
      <c r="S44" s="48">
        <v>13972.9</v>
      </c>
      <c r="T44" s="48">
        <v>125756</v>
      </c>
      <c r="U44" s="48">
        <f>(K44/V44)*1000</f>
        <v>16804.55698932461</v>
      </c>
      <c r="V44" s="49">
        <v>139105</v>
      </c>
    </row>
    <row r="45" spans="1:22" s="12" customFormat="1">
      <c r="A45" s="45">
        <f t="shared" si="2"/>
        <v>41</v>
      </c>
      <c r="B45" s="48" t="s">
        <v>329</v>
      </c>
      <c r="C45" s="95">
        <v>455</v>
      </c>
      <c r="D45" s="60" t="s">
        <v>325</v>
      </c>
      <c r="E45" s="48">
        <v>563199.6</v>
      </c>
      <c r="F45" s="48">
        <v>3301398.7</v>
      </c>
      <c r="G45" s="48">
        <v>3864598.3</v>
      </c>
      <c r="H45" s="48">
        <v>312809.7</v>
      </c>
      <c r="I45" s="48">
        <v>0</v>
      </c>
      <c r="J45" s="48">
        <v>312809.7</v>
      </c>
      <c r="K45" s="48">
        <v>3551788.6</v>
      </c>
      <c r="L45" s="48">
        <v>6758252</v>
      </c>
      <c r="M45" s="48">
        <v>6475715.7999999998</v>
      </c>
      <c r="N45" s="48">
        <v>282536.2</v>
      </c>
      <c r="O45" s="48">
        <v>0</v>
      </c>
      <c r="P45" s="48">
        <v>155858.6</v>
      </c>
      <c r="Q45" s="48">
        <v>0</v>
      </c>
      <c r="R45" s="48">
        <v>0</v>
      </c>
      <c r="S45" s="48">
        <v>12667.8</v>
      </c>
      <c r="T45" s="48">
        <v>114009.8</v>
      </c>
      <c r="U45" s="48">
        <f>(K45/V45)*1000</f>
        <v>10748.013677903529</v>
      </c>
      <c r="V45" s="48">
        <v>330460</v>
      </c>
    </row>
    <row r="46" spans="1:22" s="12" customFormat="1">
      <c r="A46" s="45">
        <f t="shared" si="2"/>
        <v>42</v>
      </c>
      <c r="B46" s="46" t="s">
        <v>189</v>
      </c>
      <c r="C46" s="95">
        <v>359</v>
      </c>
      <c r="D46" s="74" t="s">
        <v>97</v>
      </c>
      <c r="E46" s="47">
        <v>1690287.2</v>
      </c>
      <c r="F46" s="47">
        <v>456111.8</v>
      </c>
      <c r="G46" s="47">
        <v>2146399</v>
      </c>
      <c r="H46" s="48">
        <v>282820.5</v>
      </c>
      <c r="I46" s="48">
        <v>0</v>
      </c>
      <c r="J46" s="48">
        <v>282820.5</v>
      </c>
      <c r="K46" s="48">
        <v>1863578.5</v>
      </c>
      <c r="L46" s="48">
        <v>76801.100000000006</v>
      </c>
      <c r="M46" s="48">
        <v>30096.9</v>
      </c>
      <c r="N46" s="48">
        <v>46704.2</v>
      </c>
      <c r="O46" s="48">
        <v>741466.9</v>
      </c>
      <c r="P46" s="48">
        <v>656257.9</v>
      </c>
      <c r="Q46" s="48">
        <v>0</v>
      </c>
      <c r="R46" s="48">
        <v>0</v>
      </c>
      <c r="S46" s="48">
        <v>18931.400000000001</v>
      </c>
      <c r="T46" s="48">
        <v>112981.8</v>
      </c>
      <c r="U46" s="48">
        <f>(K46/V46)*1000</f>
        <v>10088.50278525143</v>
      </c>
      <c r="V46" s="49">
        <v>184723</v>
      </c>
    </row>
    <row r="47" spans="1:22" s="12" customFormat="1">
      <c r="A47" s="45">
        <f t="shared" si="2"/>
        <v>43</v>
      </c>
      <c r="B47" s="46" t="s">
        <v>256</v>
      </c>
      <c r="C47" s="95">
        <v>118</v>
      </c>
      <c r="D47" s="74" t="s">
        <v>54</v>
      </c>
      <c r="E47" s="47">
        <v>463231.9</v>
      </c>
      <c r="F47" s="47">
        <v>167800.2</v>
      </c>
      <c r="G47" s="47">
        <v>631032.1</v>
      </c>
      <c r="H47" s="48">
        <v>526610.19999999995</v>
      </c>
      <c r="I47" s="48">
        <v>0</v>
      </c>
      <c r="J47" s="48">
        <v>526610.19999999995</v>
      </c>
      <c r="K47" s="48">
        <v>104421.9</v>
      </c>
      <c r="L47" s="48">
        <v>1109440</v>
      </c>
      <c r="M47" s="48">
        <v>0</v>
      </c>
      <c r="N47" s="48">
        <v>1109440</v>
      </c>
      <c r="O47" s="48">
        <v>0</v>
      </c>
      <c r="P47" s="48">
        <v>986082.4</v>
      </c>
      <c r="Q47" s="48">
        <v>0</v>
      </c>
      <c r="R47" s="48">
        <v>0</v>
      </c>
      <c r="S47" s="48">
        <v>12335.8</v>
      </c>
      <c r="T47" s="48">
        <v>111021.8</v>
      </c>
      <c r="U47" s="48">
        <f>(K47/V47)*1000</f>
        <v>1072.5338948233361</v>
      </c>
      <c r="V47" s="49">
        <v>97360</v>
      </c>
    </row>
    <row r="48" spans="1:22" s="12" customFormat="1">
      <c r="A48" s="45">
        <f t="shared" si="2"/>
        <v>44</v>
      </c>
      <c r="B48" s="46" t="s">
        <v>190</v>
      </c>
      <c r="C48" s="95">
        <v>526</v>
      </c>
      <c r="D48" s="74" t="s">
        <v>47</v>
      </c>
      <c r="E48" s="47">
        <v>872417550.89999998</v>
      </c>
      <c r="F48" s="47">
        <v>133556033.40000001</v>
      </c>
      <c r="G48" s="47">
        <v>1005973584.3</v>
      </c>
      <c r="H48" s="48">
        <v>623910886.70000005</v>
      </c>
      <c r="I48" s="48">
        <v>207019976.59999999</v>
      </c>
      <c r="J48" s="48">
        <v>830930863.29999995</v>
      </c>
      <c r="K48" s="48">
        <v>175042721</v>
      </c>
      <c r="L48" s="48">
        <v>105968437.8</v>
      </c>
      <c r="M48" s="48">
        <v>55888542.399999999</v>
      </c>
      <c r="N48" s="48">
        <v>50079895.399999999</v>
      </c>
      <c r="O48" s="48">
        <v>4760793.5</v>
      </c>
      <c r="P48" s="48">
        <v>38517536.600000001</v>
      </c>
      <c r="Q48" s="48">
        <v>-6216467.2000000002</v>
      </c>
      <c r="R48" s="48">
        <v>-2190355.6</v>
      </c>
      <c r="S48" s="48">
        <v>7832911.5</v>
      </c>
      <c r="T48" s="48">
        <v>83418</v>
      </c>
      <c r="U48" s="48">
        <f>(K48/V48)*1000</f>
        <v>8197.450634355926</v>
      </c>
      <c r="V48" s="49">
        <v>21353312</v>
      </c>
    </row>
    <row r="49" spans="1:22" s="12" customFormat="1">
      <c r="A49" s="45">
        <f t="shared" si="2"/>
        <v>45</v>
      </c>
      <c r="B49" s="46" t="s">
        <v>287</v>
      </c>
      <c r="C49" s="95">
        <v>523</v>
      </c>
      <c r="D49" s="74" t="s">
        <v>288</v>
      </c>
      <c r="E49" s="47">
        <v>182921.1</v>
      </c>
      <c r="F49" s="47">
        <v>226320.7</v>
      </c>
      <c r="G49" s="47">
        <v>409241.8</v>
      </c>
      <c r="H49" s="48">
        <v>25820.2</v>
      </c>
      <c r="I49" s="48">
        <v>0</v>
      </c>
      <c r="J49" s="48">
        <v>25820.2</v>
      </c>
      <c r="K49" s="48">
        <v>383421.6</v>
      </c>
      <c r="L49" s="48">
        <v>1434551.8</v>
      </c>
      <c r="M49" s="48">
        <v>1054589.3999999999</v>
      </c>
      <c r="N49" s="48">
        <v>379962.4</v>
      </c>
      <c r="O49" s="48">
        <v>0</v>
      </c>
      <c r="P49" s="48">
        <v>326867.20000000001</v>
      </c>
      <c r="Q49" s="48">
        <v>0</v>
      </c>
      <c r="R49" s="48">
        <v>0</v>
      </c>
      <c r="S49" s="48">
        <v>5309.6</v>
      </c>
      <c r="T49" s="48">
        <v>47785.599999999999</v>
      </c>
      <c r="U49" s="48">
        <f>(K49/V49)*1000</f>
        <v>5117.6103147273161</v>
      </c>
      <c r="V49" s="49">
        <v>74922</v>
      </c>
    </row>
    <row r="50" spans="1:22" s="12" customFormat="1">
      <c r="A50" s="45">
        <f t="shared" si="2"/>
        <v>46</v>
      </c>
      <c r="B50" s="50" t="s">
        <v>313</v>
      </c>
      <c r="C50" s="95">
        <v>523</v>
      </c>
      <c r="D50" s="74" t="s">
        <v>288</v>
      </c>
      <c r="E50" s="47">
        <v>182921.1</v>
      </c>
      <c r="F50" s="47">
        <v>226320.7</v>
      </c>
      <c r="G50" s="47">
        <v>409241.8</v>
      </c>
      <c r="H50" s="48">
        <v>25820.2</v>
      </c>
      <c r="I50" s="48">
        <v>0</v>
      </c>
      <c r="J50" s="48">
        <v>25820.2</v>
      </c>
      <c r="K50" s="48">
        <v>383421.6</v>
      </c>
      <c r="L50" s="48">
        <v>1434551.8</v>
      </c>
      <c r="M50" s="48">
        <v>1054589.3999999999</v>
      </c>
      <c r="N50" s="48">
        <v>379962.4</v>
      </c>
      <c r="O50" s="48">
        <v>0</v>
      </c>
      <c r="P50" s="48">
        <v>326867.20000000001</v>
      </c>
      <c r="Q50" s="48">
        <v>0</v>
      </c>
      <c r="R50" s="48">
        <v>0</v>
      </c>
      <c r="S50" s="48">
        <v>5309.6</v>
      </c>
      <c r="T50" s="48">
        <v>47785.599999999999</v>
      </c>
      <c r="U50" s="48">
        <f>(K50/V50)*1000</f>
        <v>5117.6103147273161</v>
      </c>
      <c r="V50" s="49">
        <v>74922</v>
      </c>
    </row>
    <row r="51" spans="1:22" s="12" customFormat="1">
      <c r="A51" s="45">
        <f t="shared" si="2"/>
        <v>47</v>
      </c>
      <c r="B51" s="46" t="s">
        <v>191</v>
      </c>
      <c r="C51" s="95">
        <v>108</v>
      </c>
      <c r="D51" s="74" t="s">
        <v>68</v>
      </c>
      <c r="E51" s="47">
        <v>8149784.4000000004</v>
      </c>
      <c r="F51" s="47">
        <v>845288</v>
      </c>
      <c r="G51" s="47">
        <v>8995072.4000000004</v>
      </c>
      <c r="H51" s="48">
        <v>7644674.0999999996</v>
      </c>
      <c r="I51" s="48">
        <v>0</v>
      </c>
      <c r="J51" s="48">
        <v>7644674.0999999996</v>
      </c>
      <c r="K51" s="48">
        <v>1350398.3</v>
      </c>
      <c r="L51" s="48">
        <v>2230715.5</v>
      </c>
      <c r="M51" s="48">
        <v>2039048.7</v>
      </c>
      <c r="N51" s="48">
        <v>191666.8</v>
      </c>
      <c r="O51" s="48">
        <v>58923.8</v>
      </c>
      <c r="P51" s="48">
        <v>199675.7</v>
      </c>
      <c r="Q51" s="48">
        <v>0</v>
      </c>
      <c r="R51" s="48">
        <v>0</v>
      </c>
      <c r="S51" s="48">
        <v>5091.5</v>
      </c>
      <c r="T51" s="48">
        <v>45823.4</v>
      </c>
      <c r="U51" s="48">
        <f>(K51/V51)*1000</f>
        <v>9380.4367910307792</v>
      </c>
      <c r="V51" s="49">
        <v>143959</v>
      </c>
    </row>
    <row r="52" spans="1:22" s="12" customFormat="1">
      <c r="A52" s="45">
        <f t="shared" si="2"/>
        <v>48</v>
      </c>
      <c r="B52" s="46" t="s">
        <v>192</v>
      </c>
      <c r="C52" s="95">
        <v>68</v>
      </c>
      <c r="D52" s="74" t="s">
        <v>79</v>
      </c>
      <c r="E52" s="47">
        <v>2378625.7000000002</v>
      </c>
      <c r="F52" s="47">
        <v>1318828.6000000001</v>
      </c>
      <c r="G52" s="47">
        <v>3697454.3</v>
      </c>
      <c r="H52" s="48">
        <v>2987708.6</v>
      </c>
      <c r="I52" s="48">
        <v>0</v>
      </c>
      <c r="J52" s="48">
        <v>2987708.6</v>
      </c>
      <c r="K52" s="48">
        <v>709745.7</v>
      </c>
      <c r="L52" s="48">
        <v>329133.5</v>
      </c>
      <c r="M52" s="48">
        <v>0</v>
      </c>
      <c r="N52" s="48">
        <v>329133.5</v>
      </c>
      <c r="O52" s="48">
        <v>4967.6000000000004</v>
      </c>
      <c r="P52" s="48">
        <v>283280.09999999998</v>
      </c>
      <c r="Q52" s="48">
        <v>0</v>
      </c>
      <c r="R52" s="48">
        <v>0</v>
      </c>
      <c r="S52" s="48">
        <v>5082.1000000000004</v>
      </c>
      <c r="T52" s="48">
        <v>45738.9</v>
      </c>
      <c r="U52" s="48">
        <f>(K52/V52)*1000</f>
        <v>2669.7023155740785</v>
      </c>
      <c r="V52" s="49">
        <v>265852</v>
      </c>
    </row>
    <row r="53" spans="1:22" s="12" customFormat="1">
      <c r="A53" s="45">
        <f t="shared" si="2"/>
        <v>49</v>
      </c>
      <c r="B53" s="46" t="s">
        <v>193</v>
      </c>
      <c r="C53" s="95">
        <v>380</v>
      </c>
      <c r="D53" s="74" t="s">
        <v>44</v>
      </c>
      <c r="E53" s="47">
        <v>703918.2</v>
      </c>
      <c r="F53" s="47">
        <v>1159823.7</v>
      </c>
      <c r="G53" s="47">
        <v>1863741.9</v>
      </c>
      <c r="H53" s="48">
        <v>813043.19999999995</v>
      </c>
      <c r="I53" s="48">
        <v>0</v>
      </c>
      <c r="J53" s="48">
        <v>813043.19999999995</v>
      </c>
      <c r="K53" s="48">
        <v>1050698.7</v>
      </c>
      <c r="L53" s="48">
        <v>3035507.7</v>
      </c>
      <c r="M53" s="48">
        <v>2105851.9</v>
      </c>
      <c r="N53" s="48">
        <v>929655.8</v>
      </c>
      <c r="O53" s="48">
        <v>5341.6</v>
      </c>
      <c r="P53" s="48">
        <v>878263.1</v>
      </c>
      <c r="Q53" s="48">
        <v>4.0999999999999996</v>
      </c>
      <c r="R53" s="48">
        <v>0</v>
      </c>
      <c r="S53" s="48">
        <v>14235.7</v>
      </c>
      <c r="T53" s="48">
        <v>42502.7</v>
      </c>
      <c r="U53" s="48">
        <f>(K53/V53)*1000</f>
        <v>1700.9358639379134</v>
      </c>
      <c r="V53" s="49">
        <v>617718</v>
      </c>
    </row>
    <row r="54" spans="1:22" s="12" customFormat="1">
      <c r="A54" s="45">
        <f t="shared" si="2"/>
        <v>50</v>
      </c>
      <c r="B54" s="46" t="s">
        <v>194</v>
      </c>
      <c r="C54" s="95">
        <v>431</v>
      </c>
      <c r="D54" s="74" t="s">
        <v>69</v>
      </c>
      <c r="E54" s="47">
        <v>1188777.5</v>
      </c>
      <c r="F54" s="47">
        <v>329027.5</v>
      </c>
      <c r="G54" s="47">
        <v>1517805</v>
      </c>
      <c r="H54" s="48">
        <v>1188715.8</v>
      </c>
      <c r="I54" s="48">
        <v>0</v>
      </c>
      <c r="J54" s="48">
        <v>1188715.8</v>
      </c>
      <c r="K54" s="48">
        <v>329089.2</v>
      </c>
      <c r="L54" s="48">
        <v>1910520.8</v>
      </c>
      <c r="M54" s="48">
        <v>1630582.2</v>
      </c>
      <c r="N54" s="48">
        <v>279938.59999999998</v>
      </c>
      <c r="O54" s="48">
        <v>0</v>
      </c>
      <c r="P54" s="48">
        <v>237080.3</v>
      </c>
      <c r="Q54" s="48">
        <v>0</v>
      </c>
      <c r="R54" s="48">
        <v>0</v>
      </c>
      <c r="S54" s="48">
        <v>4285.8</v>
      </c>
      <c r="T54" s="48">
        <v>38572.5</v>
      </c>
      <c r="U54" s="48">
        <f>(K54/V54)*1000</f>
        <v>1247.4005003411417</v>
      </c>
      <c r="V54" s="49">
        <v>263820</v>
      </c>
    </row>
    <row r="55" spans="1:22" s="12" customFormat="1">
      <c r="A55" s="45">
        <f t="shared" si="2"/>
        <v>51</v>
      </c>
      <c r="B55" s="46" t="s">
        <v>195</v>
      </c>
      <c r="C55" s="95">
        <v>561</v>
      </c>
      <c r="D55" s="74" t="s">
        <v>158</v>
      </c>
      <c r="E55" s="47">
        <v>22474462.800000001</v>
      </c>
      <c r="F55" s="47">
        <v>0</v>
      </c>
      <c r="G55" s="47">
        <v>0</v>
      </c>
      <c r="H55" s="48">
        <v>0</v>
      </c>
      <c r="I55" s="48">
        <v>0</v>
      </c>
      <c r="J55" s="48">
        <v>0</v>
      </c>
      <c r="K55" s="48">
        <v>0</v>
      </c>
      <c r="L55" s="48">
        <v>3825090.4</v>
      </c>
      <c r="M55" s="48">
        <v>2378317.2000000002</v>
      </c>
      <c r="N55" s="48">
        <v>1437706.6</v>
      </c>
      <c r="O55" s="48">
        <v>9066.6</v>
      </c>
      <c r="P55" s="48">
        <v>530699.69999999995</v>
      </c>
      <c r="Q55" s="48">
        <v>530699.69999999995</v>
      </c>
      <c r="R55" s="48">
        <v>0</v>
      </c>
      <c r="S55" s="48">
        <v>7824656.5999999996</v>
      </c>
      <c r="T55" s="48">
        <v>36240.300000000003</v>
      </c>
      <c r="U55" s="48">
        <f>(K55/V55)*1000</f>
        <v>0</v>
      </c>
      <c r="V55" s="49">
        <v>223570000</v>
      </c>
    </row>
    <row r="56" spans="1:22" s="12" customFormat="1">
      <c r="A56" s="45">
        <f t="shared" si="2"/>
        <v>52</v>
      </c>
      <c r="B56" s="46" t="s">
        <v>196</v>
      </c>
      <c r="C56" s="95">
        <v>389</v>
      </c>
      <c r="D56" s="74" t="s">
        <v>116</v>
      </c>
      <c r="E56" s="47">
        <v>9509.9</v>
      </c>
      <c r="F56" s="47">
        <v>11142.6</v>
      </c>
      <c r="G56" s="47">
        <v>20652.5</v>
      </c>
      <c r="H56" s="48">
        <v>6973.3</v>
      </c>
      <c r="I56" s="48">
        <v>12038</v>
      </c>
      <c r="J56" s="48">
        <v>19011.3</v>
      </c>
      <c r="K56" s="48">
        <v>1641.2</v>
      </c>
      <c r="L56" s="48">
        <v>0</v>
      </c>
      <c r="M56" s="48">
        <v>0</v>
      </c>
      <c r="N56" s="48">
        <v>0</v>
      </c>
      <c r="O56" s="48">
        <v>429706.4</v>
      </c>
      <c r="P56" s="48">
        <v>390847.7</v>
      </c>
      <c r="Q56" s="48">
        <v>0</v>
      </c>
      <c r="R56" s="48">
        <v>0</v>
      </c>
      <c r="S56" s="48">
        <v>3885.8</v>
      </c>
      <c r="T56" s="48">
        <v>34972.9</v>
      </c>
      <c r="U56" s="48">
        <f>(K56/V56)*1000</f>
        <v>14.669419640862003</v>
      </c>
      <c r="V56" s="49">
        <v>111879</v>
      </c>
    </row>
    <row r="57" spans="1:22" s="12" customFormat="1">
      <c r="A57" s="45">
        <f t="shared" si="2"/>
        <v>53</v>
      </c>
      <c r="B57" s="46" t="s">
        <v>348</v>
      </c>
      <c r="C57" s="19">
        <v>466</v>
      </c>
      <c r="D57" s="143" t="s">
        <v>339</v>
      </c>
      <c r="E57" s="47">
        <v>2967010.8</v>
      </c>
      <c r="F57" s="47">
        <v>6107578.4000000004</v>
      </c>
      <c r="G57" s="47">
        <v>9074589.1999999993</v>
      </c>
      <c r="H57" s="47">
        <v>3141502.1</v>
      </c>
      <c r="I57" s="47">
        <v>1592218.6</v>
      </c>
      <c r="J57" s="47">
        <v>4733720.7</v>
      </c>
      <c r="K57" s="47">
        <v>4340868.5</v>
      </c>
      <c r="L57" s="47">
        <v>5069532.2</v>
      </c>
      <c r="M57" s="47">
        <v>0</v>
      </c>
      <c r="N57" s="47">
        <v>5069532.2</v>
      </c>
      <c r="O57" s="46">
        <v>6054.6</v>
      </c>
      <c r="P57" s="46">
        <v>5038127.9000000004</v>
      </c>
      <c r="Q57" s="46">
        <v>175.9</v>
      </c>
      <c r="R57" s="46">
        <v>0</v>
      </c>
      <c r="S57" s="47">
        <v>3763.5</v>
      </c>
      <c r="T57" s="47">
        <v>33871.300000000003</v>
      </c>
      <c r="U57" s="48">
        <f>(K57/V57)*1000</f>
        <v>8095.9617812774504</v>
      </c>
      <c r="V57" s="49">
        <v>536177</v>
      </c>
    </row>
    <row r="58" spans="1:22" s="12" customFormat="1">
      <c r="A58" s="45">
        <f t="shared" si="2"/>
        <v>54</v>
      </c>
      <c r="B58" s="46" t="s">
        <v>197</v>
      </c>
      <c r="C58" s="95">
        <v>71</v>
      </c>
      <c r="D58" s="74" t="s">
        <v>141</v>
      </c>
      <c r="E58" s="47">
        <v>809260.8</v>
      </c>
      <c r="F58" s="47">
        <v>6812636.9000000004</v>
      </c>
      <c r="G58" s="47">
        <v>7621897.7000000002</v>
      </c>
      <c r="H58" s="48">
        <v>199620.8</v>
      </c>
      <c r="I58" s="48">
        <v>0</v>
      </c>
      <c r="J58" s="48">
        <v>199620.8</v>
      </c>
      <c r="K58" s="48">
        <v>7422276.9000000004</v>
      </c>
      <c r="L58" s="48">
        <v>169015</v>
      </c>
      <c r="M58" s="48">
        <v>120492.2</v>
      </c>
      <c r="N58" s="48">
        <v>48522.8</v>
      </c>
      <c r="O58" s="48">
        <v>323329.40000000002</v>
      </c>
      <c r="P58" s="48">
        <v>342874.2</v>
      </c>
      <c r="Q58" s="48">
        <v>910.2</v>
      </c>
      <c r="R58" s="48">
        <v>0</v>
      </c>
      <c r="S58" s="48">
        <v>1780.9</v>
      </c>
      <c r="T58" s="48">
        <v>28107.3</v>
      </c>
      <c r="U58" s="48">
        <f>(K58/V58)*1000</f>
        <v>6714.0822213719121</v>
      </c>
      <c r="V58" s="49">
        <v>1105479</v>
      </c>
    </row>
    <row r="59" spans="1:22" s="12" customFormat="1">
      <c r="A59" s="45">
        <f t="shared" si="2"/>
        <v>55</v>
      </c>
      <c r="B59" s="46" t="s">
        <v>274</v>
      </c>
      <c r="C59" s="95">
        <v>537</v>
      </c>
      <c r="D59" s="74" t="s">
        <v>263</v>
      </c>
      <c r="E59" s="48">
        <v>473549.2</v>
      </c>
      <c r="F59" s="48">
        <v>4699702.8</v>
      </c>
      <c r="G59" s="48">
        <v>5173252</v>
      </c>
      <c r="H59" s="48">
        <v>68258.600000000006</v>
      </c>
      <c r="I59" s="48">
        <v>0</v>
      </c>
      <c r="J59" s="48">
        <v>68258.600000000006</v>
      </c>
      <c r="K59" s="48">
        <v>5104993.4000000004</v>
      </c>
      <c r="L59" s="48">
        <v>1220160.3</v>
      </c>
      <c r="M59" s="48">
        <v>0</v>
      </c>
      <c r="N59" s="48">
        <v>1220160.3</v>
      </c>
      <c r="O59" s="48">
        <v>41272.699999999997</v>
      </c>
      <c r="P59" s="48">
        <v>1230496.2</v>
      </c>
      <c r="Q59" s="48">
        <v>56.1</v>
      </c>
      <c r="R59" s="48">
        <v>0</v>
      </c>
      <c r="S59" s="48">
        <v>5550.3</v>
      </c>
      <c r="T59" s="48">
        <v>25442.6</v>
      </c>
      <c r="U59" s="48">
        <f>(K59/V59)*1000</f>
        <v>110.49769264069265</v>
      </c>
      <c r="V59" s="49">
        <v>46200000</v>
      </c>
    </row>
    <row r="60" spans="1:22" s="12" customFormat="1">
      <c r="A60" s="45">
        <f t="shared" si="2"/>
        <v>56</v>
      </c>
      <c r="B60" s="46" t="s">
        <v>198</v>
      </c>
      <c r="C60" s="95">
        <v>332</v>
      </c>
      <c r="D60" s="74" t="s">
        <v>78</v>
      </c>
      <c r="E60" s="47">
        <v>15745.8</v>
      </c>
      <c r="F60" s="47">
        <v>621821</v>
      </c>
      <c r="G60" s="47">
        <v>637566.80000000005</v>
      </c>
      <c r="H60" s="48">
        <v>43926.5</v>
      </c>
      <c r="I60" s="48">
        <v>0</v>
      </c>
      <c r="J60" s="48">
        <v>43926.5</v>
      </c>
      <c r="K60" s="48">
        <v>593640.30000000005</v>
      </c>
      <c r="L60" s="48">
        <v>129722</v>
      </c>
      <c r="M60" s="48">
        <v>0</v>
      </c>
      <c r="N60" s="48">
        <v>129722</v>
      </c>
      <c r="O60" s="48">
        <v>0</v>
      </c>
      <c r="P60" s="48">
        <v>106152.3</v>
      </c>
      <c r="Q60" s="48">
        <v>0</v>
      </c>
      <c r="R60" s="48">
        <v>0</v>
      </c>
      <c r="S60" s="48">
        <v>235.7</v>
      </c>
      <c r="T60" s="48">
        <v>23334</v>
      </c>
      <c r="U60" s="48">
        <f>(K60/V60)*1000</f>
        <v>11294.526255707764</v>
      </c>
      <c r="V60" s="49">
        <v>52560</v>
      </c>
    </row>
    <row r="61" spans="1:22" s="12" customFormat="1">
      <c r="A61" s="45">
        <f t="shared" si="2"/>
        <v>57</v>
      </c>
      <c r="B61" s="46" t="s">
        <v>199</v>
      </c>
      <c r="C61" s="95">
        <v>414</v>
      </c>
      <c r="D61" s="74" t="s">
        <v>95</v>
      </c>
      <c r="E61" s="47">
        <v>89890.8</v>
      </c>
      <c r="F61" s="47">
        <v>46070.400000000001</v>
      </c>
      <c r="G61" s="47">
        <v>135961.20000000001</v>
      </c>
      <c r="H61" s="48">
        <v>57960.7</v>
      </c>
      <c r="I61" s="48">
        <v>0</v>
      </c>
      <c r="J61" s="48">
        <v>57960.7</v>
      </c>
      <c r="K61" s="48">
        <v>78000.5</v>
      </c>
      <c r="L61" s="48">
        <v>88660.1</v>
      </c>
      <c r="M61" s="48">
        <v>62539.199999999997</v>
      </c>
      <c r="N61" s="48">
        <v>26120.9</v>
      </c>
      <c r="O61" s="48">
        <v>14192.8</v>
      </c>
      <c r="P61" s="48">
        <v>15258.6</v>
      </c>
      <c r="Q61" s="48">
        <v>0</v>
      </c>
      <c r="R61" s="48">
        <v>-1518.7</v>
      </c>
      <c r="S61" s="48">
        <v>250.5</v>
      </c>
      <c r="T61" s="48">
        <v>23285.9</v>
      </c>
      <c r="U61" s="48">
        <f>(K61/V61)*1000</f>
        <v>676.67062834537739</v>
      </c>
      <c r="V61" s="49">
        <v>115271</v>
      </c>
    </row>
    <row r="62" spans="1:22" s="12" customFormat="1">
      <c r="A62" s="45">
        <f t="shared" si="2"/>
        <v>58</v>
      </c>
      <c r="B62" s="46" t="s">
        <v>315</v>
      </c>
      <c r="C62" s="95">
        <v>377</v>
      </c>
      <c r="D62" s="74" t="s">
        <v>303</v>
      </c>
      <c r="E62" s="47">
        <v>1405924.6</v>
      </c>
      <c r="F62" s="47">
        <v>2508436.7000000002</v>
      </c>
      <c r="G62" s="47">
        <v>3914361.3</v>
      </c>
      <c r="H62" s="48">
        <v>564912.1</v>
      </c>
      <c r="I62" s="48">
        <v>0</v>
      </c>
      <c r="J62" s="48">
        <v>564912.1</v>
      </c>
      <c r="K62" s="48">
        <v>3349449.2</v>
      </c>
      <c r="L62" s="48">
        <v>4120452.9</v>
      </c>
      <c r="M62" s="48">
        <v>2364150.2999999998</v>
      </c>
      <c r="N62" s="48">
        <v>1756302.6</v>
      </c>
      <c r="O62" s="48">
        <v>0</v>
      </c>
      <c r="P62" s="48">
        <v>1743071.6</v>
      </c>
      <c r="Q62" s="48">
        <v>0</v>
      </c>
      <c r="R62" s="48">
        <v>0</v>
      </c>
      <c r="S62" s="48">
        <v>1323.1</v>
      </c>
      <c r="T62" s="48">
        <v>11907.9</v>
      </c>
      <c r="U62" s="48">
        <f>(K62/V62)*1000</f>
        <v>21463.398567162651</v>
      </c>
      <c r="V62" s="49">
        <v>156054</v>
      </c>
    </row>
    <row r="63" spans="1:22" s="12" customFormat="1">
      <c r="A63" s="45">
        <f t="shared" si="2"/>
        <v>59</v>
      </c>
      <c r="B63" s="50" t="s">
        <v>296</v>
      </c>
      <c r="C63" s="95">
        <v>376</v>
      </c>
      <c r="D63" s="74" t="s">
        <v>289</v>
      </c>
      <c r="E63" s="47">
        <v>240146.1</v>
      </c>
      <c r="F63" s="47">
        <v>1063641.7</v>
      </c>
      <c r="G63" s="47">
        <v>1303787.8</v>
      </c>
      <c r="H63" s="48">
        <v>431849.5</v>
      </c>
      <c r="I63" s="48">
        <v>158024.6</v>
      </c>
      <c r="J63" s="48">
        <v>589874.1</v>
      </c>
      <c r="K63" s="48">
        <v>713913.7</v>
      </c>
      <c r="L63" s="48">
        <v>1684617.2</v>
      </c>
      <c r="M63" s="48">
        <v>1361367.1</v>
      </c>
      <c r="N63" s="48">
        <v>323250.09999999998</v>
      </c>
      <c r="O63" s="48">
        <v>5040</v>
      </c>
      <c r="P63" s="48">
        <v>316027.90000000002</v>
      </c>
      <c r="Q63" s="48">
        <v>0</v>
      </c>
      <c r="R63" s="48">
        <v>0</v>
      </c>
      <c r="S63" s="48">
        <v>722.2</v>
      </c>
      <c r="T63" s="48">
        <v>11540</v>
      </c>
      <c r="U63" s="48">
        <f>(K63/V63)*1000</f>
        <v>822.24250563200542</v>
      </c>
      <c r="V63" s="49">
        <v>868252</v>
      </c>
    </row>
    <row r="64" spans="1:22" s="12" customFormat="1">
      <c r="A64" s="45">
        <f t="shared" si="2"/>
        <v>60</v>
      </c>
      <c r="B64" s="46" t="s">
        <v>200</v>
      </c>
      <c r="C64" s="95">
        <v>311</v>
      </c>
      <c r="D64" s="74" t="s">
        <v>51</v>
      </c>
      <c r="E64" s="47">
        <v>254258.7</v>
      </c>
      <c r="F64" s="47">
        <v>1983163.5</v>
      </c>
      <c r="G64" s="47">
        <v>2237422.2000000002</v>
      </c>
      <c r="H64" s="48">
        <v>206459.5</v>
      </c>
      <c r="I64" s="48">
        <v>200000</v>
      </c>
      <c r="J64" s="48">
        <v>406459.5</v>
      </c>
      <c r="K64" s="48">
        <v>1830962.7</v>
      </c>
      <c r="L64" s="48">
        <v>560034.30000000005</v>
      </c>
      <c r="M64" s="48">
        <v>0</v>
      </c>
      <c r="N64" s="48">
        <v>560034.30000000005</v>
      </c>
      <c r="O64" s="48">
        <v>0</v>
      </c>
      <c r="P64" s="48">
        <v>548771.69999999995</v>
      </c>
      <c r="Q64" s="48">
        <v>0</v>
      </c>
      <c r="R64" s="48">
        <v>0</v>
      </c>
      <c r="S64" s="48">
        <v>1126.2</v>
      </c>
      <c r="T64" s="48">
        <v>10136.4</v>
      </c>
      <c r="U64" s="48">
        <f>(K64/V64)*1000</f>
        <v>24753.108734740228</v>
      </c>
      <c r="V64" s="49">
        <v>73969</v>
      </c>
    </row>
    <row r="65" spans="1:22" s="12" customFormat="1">
      <c r="A65" s="45">
        <f t="shared" si="2"/>
        <v>61</v>
      </c>
      <c r="B65" s="46" t="s">
        <v>201</v>
      </c>
      <c r="C65" s="95">
        <v>366</v>
      </c>
      <c r="D65" s="74" t="s">
        <v>50</v>
      </c>
      <c r="E65" s="47">
        <v>30107.9</v>
      </c>
      <c r="F65" s="47">
        <v>1320949.3</v>
      </c>
      <c r="G65" s="47">
        <v>1351057.2</v>
      </c>
      <c r="H65" s="48">
        <v>679360.2</v>
      </c>
      <c r="I65" s="48">
        <v>0</v>
      </c>
      <c r="J65" s="48">
        <v>679360.2</v>
      </c>
      <c r="K65" s="48">
        <v>671697</v>
      </c>
      <c r="L65" s="48">
        <v>664138.9</v>
      </c>
      <c r="M65" s="48">
        <v>480091.8</v>
      </c>
      <c r="N65" s="48">
        <v>184047.1</v>
      </c>
      <c r="O65" s="48">
        <v>0</v>
      </c>
      <c r="P65" s="48">
        <v>173410.2</v>
      </c>
      <c r="Q65" s="48">
        <v>0</v>
      </c>
      <c r="R65" s="48">
        <v>0</v>
      </c>
      <c r="S65" s="48">
        <v>1063.7</v>
      </c>
      <c r="T65" s="48">
        <v>9573.2000000000007</v>
      </c>
      <c r="U65" s="48">
        <f>(K65/V65)*1000</f>
        <v>75.089376544106969</v>
      </c>
      <c r="V65" s="49">
        <v>8945300</v>
      </c>
    </row>
    <row r="66" spans="1:22" s="12" customFormat="1">
      <c r="A66" s="45">
        <f t="shared" si="2"/>
        <v>62</v>
      </c>
      <c r="B66" s="46" t="s">
        <v>321</v>
      </c>
      <c r="C66" s="95">
        <v>204</v>
      </c>
      <c r="D66" s="74" t="s">
        <v>309</v>
      </c>
      <c r="E66" s="47">
        <v>710872.9</v>
      </c>
      <c r="F66" s="47">
        <v>1053263.2</v>
      </c>
      <c r="G66" s="47">
        <v>1764136.1</v>
      </c>
      <c r="H66" s="48">
        <v>826138.6</v>
      </c>
      <c r="I66" s="48">
        <v>539346.5</v>
      </c>
      <c r="J66" s="48">
        <v>1365485.1</v>
      </c>
      <c r="K66" s="48">
        <v>398651</v>
      </c>
      <c r="L66" s="48">
        <v>798971.2</v>
      </c>
      <c r="M66" s="48">
        <v>719637.8</v>
      </c>
      <c r="N66" s="48">
        <v>79333.399999999994</v>
      </c>
      <c r="O66" s="48">
        <v>25925.5</v>
      </c>
      <c r="P66" s="48">
        <v>95795.5</v>
      </c>
      <c r="Q66" s="48">
        <v>0</v>
      </c>
      <c r="R66" s="48">
        <v>0</v>
      </c>
      <c r="S66" s="48">
        <v>946.3</v>
      </c>
      <c r="T66" s="48">
        <v>8517.1</v>
      </c>
      <c r="U66" s="48">
        <f>(K66/V66)*1000</f>
        <v>7076.0587880293942</v>
      </c>
      <c r="V66" s="49">
        <v>56338</v>
      </c>
    </row>
    <row r="67" spans="1:22" s="12" customFormat="1">
      <c r="A67" s="45">
        <f t="shared" si="2"/>
        <v>63</v>
      </c>
      <c r="B67" s="46" t="s">
        <v>202</v>
      </c>
      <c r="C67" s="95">
        <v>86</v>
      </c>
      <c r="D67" s="74" t="s">
        <v>59</v>
      </c>
      <c r="E67" s="47">
        <v>573247.1</v>
      </c>
      <c r="F67" s="47">
        <v>281284.7</v>
      </c>
      <c r="G67" s="47">
        <v>854531.8</v>
      </c>
      <c r="H67" s="48">
        <v>255507.4</v>
      </c>
      <c r="I67" s="48">
        <v>0</v>
      </c>
      <c r="J67" s="48">
        <v>255507.4</v>
      </c>
      <c r="K67" s="48">
        <v>599024.4</v>
      </c>
      <c r="L67" s="48">
        <v>410048.2</v>
      </c>
      <c r="M67" s="48">
        <v>205996.9</v>
      </c>
      <c r="N67" s="48">
        <v>204051.3</v>
      </c>
      <c r="O67" s="48">
        <v>0</v>
      </c>
      <c r="P67" s="48">
        <v>198246.6</v>
      </c>
      <c r="Q67" s="48">
        <v>0</v>
      </c>
      <c r="R67" s="48">
        <v>0</v>
      </c>
      <c r="S67" s="48">
        <v>630.5</v>
      </c>
      <c r="T67" s="48">
        <v>5174.2</v>
      </c>
      <c r="U67" s="48">
        <f>(K67/V67)*1000</f>
        <v>3144.6336047372315</v>
      </c>
      <c r="V67" s="49">
        <v>190491</v>
      </c>
    </row>
    <row r="68" spans="1:22" s="12" customFormat="1">
      <c r="A68" s="45">
        <f t="shared" si="2"/>
        <v>64</v>
      </c>
      <c r="B68" s="46" t="s">
        <v>203</v>
      </c>
      <c r="C68" s="95">
        <v>331</v>
      </c>
      <c r="D68" s="74" t="s">
        <v>93</v>
      </c>
      <c r="E68" s="47">
        <v>80932.800000000003</v>
      </c>
      <c r="F68" s="47">
        <v>370630.3</v>
      </c>
      <c r="G68" s="47">
        <v>451563.1</v>
      </c>
      <c r="H68" s="48">
        <v>171092.9</v>
      </c>
      <c r="I68" s="48">
        <v>0</v>
      </c>
      <c r="J68" s="48">
        <v>171092.9</v>
      </c>
      <c r="K68" s="48">
        <v>280470.2</v>
      </c>
      <c r="L68" s="48">
        <v>535464</v>
      </c>
      <c r="M68" s="48">
        <v>474555.7</v>
      </c>
      <c r="N68" s="48">
        <v>60908.3</v>
      </c>
      <c r="O68" s="48">
        <v>0</v>
      </c>
      <c r="P68" s="48">
        <v>56176.6</v>
      </c>
      <c r="Q68" s="48">
        <v>0</v>
      </c>
      <c r="R68" s="48">
        <v>0</v>
      </c>
      <c r="S68" s="48">
        <v>473.2</v>
      </c>
      <c r="T68" s="48">
        <v>4258.5</v>
      </c>
      <c r="U68" s="48">
        <f>(K68/V68)*1000</f>
        <v>1158.101585178028</v>
      </c>
      <c r="V68" s="49">
        <v>242181</v>
      </c>
    </row>
    <row r="69" spans="1:22" s="12" customFormat="1">
      <c r="A69" s="45">
        <f t="shared" si="2"/>
        <v>65</v>
      </c>
      <c r="B69" s="46" t="s">
        <v>270</v>
      </c>
      <c r="C69" s="95">
        <v>96</v>
      </c>
      <c r="D69" s="74" t="s">
        <v>259</v>
      </c>
      <c r="E69" s="48">
        <v>159774.5</v>
      </c>
      <c r="F69" s="48">
        <v>43290.2</v>
      </c>
      <c r="G69" s="48">
        <v>203064.7</v>
      </c>
      <c r="H69" s="48">
        <v>0</v>
      </c>
      <c r="I69" s="48">
        <v>50926.7</v>
      </c>
      <c r="J69" s="48">
        <v>50926.7</v>
      </c>
      <c r="K69" s="48">
        <v>152138</v>
      </c>
      <c r="L69" s="48">
        <v>231500</v>
      </c>
      <c r="M69" s="48">
        <v>228370</v>
      </c>
      <c r="N69" s="48">
        <v>3130</v>
      </c>
      <c r="O69" s="48">
        <v>0</v>
      </c>
      <c r="P69" s="48">
        <v>0</v>
      </c>
      <c r="Q69" s="48">
        <v>0</v>
      </c>
      <c r="R69" s="48">
        <v>0</v>
      </c>
      <c r="S69" s="48">
        <v>31.3</v>
      </c>
      <c r="T69" s="48">
        <v>3098.7</v>
      </c>
      <c r="U69" s="48">
        <f>(K69/V69)*1000</f>
        <v>1318.9821838831333</v>
      </c>
      <c r="V69" s="49">
        <v>115345</v>
      </c>
    </row>
    <row r="70" spans="1:22" s="12" customFormat="1">
      <c r="A70" s="45">
        <f t="shared" si="2"/>
        <v>66</v>
      </c>
      <c r="B70" s="46" t="s">
        <v>204</v>
      </c>
      <c r="C70" s="95">
        <v>317</v>
      </c>
      <c r="D70" s="74" t="s">
        <v>99</v>
      </c>
      <c r="E70" s="47">
        <v>1874032.4</v>
      </c>
      <c r="F70" s="47">
        <v>469427.3</v>
      </c>
      <c r="G70" s="47">
        <v>2343459.7000000002</v>
      </c>
      <c r="H70" s="48">
        <v>1031843.7</v>
      </c>
      <c r="I70" s="48">
        <v>639907.80000000005</v>
      </c>
      <c r="J70" s="48">
        <v>1671751.5</v>
      </c>
      <c r="K70" s="48">
        <v>671708.2</v>
      </c>
      <c r="L70" s="48">
        <v>1243527.6000000001</v>
      </c>
      <c r="M70" s="48">
        <v>1103828.3999999999</v>
      </c>
      <c r="N70" s="48">
        <v>139699.20000000001</v>
      </c>
      <c r="O70" s="48">
        <v>0</v>
      </c>
      <c r="P70" s="48">
        <v>136263.20000000001</v>
      </c>
      <c r="Q70" s="48">
        <v>0</v>
      </c>
      <c r="R70" s="48">
        <v>0</v>
      </c>
      <c r="S70" s="48">
        <v>343.6</v>
      </c>
      <c r="T70" s="48">
        <v>3092.4</v>
      </c>
      <c r="U70" s="48">
        <f>(K70/V70)*1000</f>
        <v>14.496902336616595</v>
      </c>
      <c r="V70" s="49">
        <v>46334602</v>
      </c>
    </row>
    <row r="71" spans="1:22" s="12" customFormat="1">
      <c r="A71" s="45">
        <f t="shared" ref="A71:A134" si="3">+A70+1</f>
        <v>67</v>
      </c>
      <c r="B71" s="46" t="s">
        <v>205</v>
      </c>
      <c r="C71" s="95">
        <v>378</v>
      </c>
      <c r="D71" s="74" t="s">
        <v>63</v>
      </c>
      <c r="E71" s="47">
        <v>410905.3</v>
      </c>
      <c r="F71" s="47">
        <v>1209256.5</v>
      </c>
      <c r="G71" s="47">
        <v>1620161.8</v>
      </c>
      <c r="H71" s="48">
        <v>433333.2</v>
      </c>
      <c r="I71" s="48">
        <v>0</v>
      </c>
      <c r="J71" s="48">
        <v>433333.2</v>
      </c>
      <c r="K71" s="48">
        <v>1186828.6000000001</v>
      </c>
      <c r="L71" s="48">
        <v>144500.6</v>
      </c>
      <c r="M71" s="48">
        <v>112173.9</v>
      </c>
      <c r="N71" s="48">
        <v>32326.7</v>
      </c>
      <c r="O71" s="48">
        <v>0</v>
      </c>
      <c r="P71" s="48">
        <v>29745.4</v>
      </c>
      <c r="Q71" s="48">
        <v>0</v>
      </c>
      <c r="R71" s="48">
        <v>0</v>
      </c>
      <c r="S71" s="48">
        <v>61.5</v>
      </c>
      <c r="T71" s="48">
        <v>2519.8000000000002</v>
      </c>
      <c r="U71" s="48">
        <f>(K71/V71)*1000</f>
        <v>3805.6942948027295</v>
      </c>
      <c r="V71" s="49">
        <v>311856</v>
      </c>
    </row>
    <row r="72" spans="1:22" s="12" customFormat="1">
      <c r="A72" s="45">
        <f t="shared" si="3"/>
        <v>68</v>
      </c>
      <c r="B72" s="46" t="s">
        <v>206</v>
      </c>
      <c r="C72" s="95">
        <v>459</v>
      </c>
      <c r="D72" s="74" t="s">
        <v>72</v>
      </c>
      <c r="E72" s="47">
        <v>806451.8</v>
      </c>
      <c r="F72" s="47">
        <v>566518.80000000005</v>
      </c>
      <c r="G72" s="47">
        <v>1372970.6</v>
      </c>
      <c r="H72" s="48">
        <v>257596</v>
      </c>
      <c r="I72" s="48">
        <v>0</v>
      </c>
      <c r="J72" s="48">
        <v>257596</v>
      </c>
      <c r="K72" s="48">
        <v>1115374.6000000001</v>
      </c>
      <c r="L72" s="48">
        <v>950438.6</v>
      </c>
      <c r="M72" s="48">
        <v>852004.2</v>
      </c>
      <c r="N72" s="48">
        <v>98434.4</v>
      </c>
      <c r="O72" s="48">
        <v>0</v>
      </c>
      <c r="P72" s="48">
        <v>96048.4</v>
      </c>
      <c r="Q72" s="48">
        <v>0</v>
      </c>
      <c r="R72" s="48">
        <v>0</v>
      </c>
      <c r="S72" s="48">
        <v>238.6</v>
      </c>
      <c r="T72" s="48">
        <v>2147.4</v>
      </c>
      <c r="U72" s="48">
        <f>(K72/V72)*1000</f>
        <v>2808.9064054295682</v>
      </c>
      <c r="V72" s="49">
        <v>397085</v>
      </c>
    </row>
    <row r="73" spans="1:22" s="12" customFormat="1">
      <c r="A73" s="45">
        <f t="shared" si="3"/>
        <v>69</v>
      </c>
      <c r="B73" s="46" t="s">
        <v>207</v>
      </c>
      <c r="C73" s="95">
        <v>25</v>
      </c>
      <c r="D73" s="74" t="s">
        <v>87</v>
      </c>
      <c r="E73" s="47">
        <v>2825597</v>
      </c>
      <c r="F73" s="47">
        <v>470843.8</v>
      </c>
      <c r="G73" s="47">
        <v>3296440.8</v>
      </c>
      <c r="H73" s="48">
        <v>1866092</v>
      </c>
      <c r="I73" s="48">
        <v>0</v>
      </c>
      <c r="J73" s="48">
        <v>1866092</v>
      </c>
      <c r="K73" s="48">
        <v>1430348.8</v>
      </c>
      <c r="L73" s="48">
        <v>7728076.0999999996</v>
      </c>
      <c r="M73" s="48">
        <v>7296325.5</v>
      </c>
      <c r="N73" s="48">
        <v>431750.6</v>
      </c>
      <c r="O73" s="48">
        <v>0</v>
      </c>
      <c r="P73" s="48">
        <v>423229.4</v>
      </c>
      <c r="Q73" s="48">
        <v>-6591.4</v>
      </c>
      <c r="R73" s="48">
        <v>0</v>
      </c>
      <c r="S73" s="48">
        <v>193</v>
      </c>
      <c r="T73" s="48">
        <v>1736.8</v>
      </c>
      <c r="U73" s="48">
        <f>(K73/V73)*1000</f>
        <v>90.133455095151731</v>
      </c>
      <c r="V73" s="49">
        <v>15869233</v>
      </c>
    </row>
    <row r="74" spans="1:22" s="12" customFormat="1">
      <c r="A74" s="45">
        <f t="shared" si="3"/>
        <v>70</v>
      </c>
      <c r="B74" s="46" t="s">
        <v>346</v>
      </c>
      <c r="C74" s="19">
        <v>540</v>
      </c>
      <c r="D74" s="143" t="s">
        <v>341</v>
      </c>
      <c r="E74" s="47">
        <v>10209149.4</v>
      </c>
      <c r="F74" s="47">
        <v>2907642.9</v>
      </c>
      <c r="G74" s="47">
        <v>13116792.300000001</v>
      </c>
      <c r="H74" s="47">
        <v>9386633.8000000007</v>
      </c>
      <c r="I74" s="46">
        <v>0</v>
      </c>
      <c r="J74" s="47">
        <v>9386633.8000000007</v>
      </c>
      <c r="K74" s="47">
        <v>3730158.5</v>
      </c>
      <c r="L74" s="47">
        <v>4825269.7</v>
      </c>
      <c r="M74" s="47">
        <v>3520135.6</v>
      </c>
      <c r="N74" s="47">
        <v>1305134.1000000001</v>
      </c>
      <c r="O74" s="46">
        <v>0</v>
      </c>
      <c r="P74" s="46">
        <v>1303390.3999999999</v>
      </c>
      <c r="Q74" s="46">
        <v>0</v>
      </c>
      <c r="R74" s="46">
        <v>0</v>
      </c>
      <c r="S74" s="46">
        <v>274.39999999999998</v>
      </c>
      <c r="T74" s="47">
        <v>1469.3</v>
      </c>
      <c r="U74" s="48">
        <f>(K74/V74)*1000</f>
        <v>57.382639796938697</v>
      </c>
      <c r="V74" s="49">
        <v>65005000</v>
      </c>
    </row>
    <row r="75" spans="1:22" s="12" customFormat="1">
      <c r="A75" s="45">
        <f t="shared" si="3"/>
        <v>71</v>
      </c>
      <c r="B75" s="46" t="s">
        <v>277</v>
      </c>
      <c r="C75" s="95">
        <v>67</v>
      </c>
      <c r="D75" s="74" t="s">
        <v>266</v>
      </c>
      <c r="E75" s="48">
        <v>1052208.8</v>
      </c>
      <c r="F75" s="48">
        <v>996395.5</v>
      </c>
      <c r="G75" s="48">
        <v>2048604.3</v>
      </c>
      <c r="H75" s="48">
        <v>169299</v>
      </c>
      <c r="I75" s="48">
        <v>125613.5</v>
      </c>
      <c r="J75" s="48">
        <v>294912.5</v>
      </c>
      <c r="K75" s="48">
        <v>1753691.8</v>
      </c>
      <c r="L75" s="48">
        <v>794931.8</v>
      </c>
      <c r="M75" s="48">
        <v>643957.69999999995</v>
      </c>
      <c r="N75" s="48">
        <v>150974.1</v>
      </c>
      <c r="O75" s="48">
        <v>33027.199999999997</v>
      </c>
      <c r="P75" s="48">
        <v>178139.1</v>
      </c>
      <c r="Q75" s="48">
        <v>47.4</v>
      </c>
      <c r="R75" s="48">
        <v>0</v>
      </c>
      <c r="S75" s="48">
        <v>4688.1000000000004</v>
      </c>
      <c r="T75" s="48">
        <v>1221.5</v>
      </c>
      <c r="U75" s="48">
        <f>(K75/V75)*1000</f>
        <v>1361.0177607555984</v>
      </c>
      <c r="V75" s="49">
        <v>1288515</v>
      </c>
    </row>
    <row r="76" spans="1:22" s="12" customFormat="1">
      <c r="A76" s="45">
        <f t="shared" si="3"/>
        <v>72</v>
      </c>
      <c r="B76" s="46" t="s">
        <v>208</v>
      </c>
      <c r="C76" s="95">
        <v>119</v>
      </c>
      <c r="D76" s="74" t="s">
        <v>28</v>
      </c>
      <c r="E76" s="47">
        <v>148505</v>
      </c>
      <c r="F76" s="47">
        <v>787141.2</v>
      </c>
      <c r="G76" s="47">
        <v>935646.2</v>
      </c>
      <c r="H76" s="48">
        <v>71828.899999999994</v>
      </c>
      <c r="I76" s="48">
        <v>0</v>
      </c>
      <c r="J76" s="48">
        <v>71828.899999999994</v>
      </c>
      <c r="K76" s="48">
        <v>863817.3</v>
      </c>
      <c r="L76" s="48">
        <v>137760.5</v>
      </c>
      <c r="M76" s="48">
        <v>135305.5</v>
      </c>
      <c r="N76" s="48">
        <v>2455</v>
      </c>
      <c r="O76" s="48">
        <v>0</v>
      </c>
      <c r="P76" s="48">
        <v>0</v>
      </c>
      <c r="Q76" s="48">
        <v>0</v>
      </c>
      <c r="R76" s="48">
        <v>0</v>
      </c>
      <c r="S76" s="48">
        <v>1377.6</v>
      </c>
      <c r="T76" s="48">
        <v>1077.4000000000001</v>
      </c>
      <c r="U76" s="48">
        <f>(K76/V76)*1000</f>
        <v>8361.5721918922063</v>
      </c>
      <c r="V76" s="49">
        <v>103308</v>
      </c>
    </row>
    <row r="77" spans="1:22" s="12" customFormat="1">
      <c r="A77" s="45">
        <f t="shared" si="3"/>
        <v>73</v>
      </c>
      <c r="B77" s="46" t="s">
        <v>209</v>
      </c>
      <c r="C77" s="95">
        <v>394</v>
      </c>
      <c r="D77" s="74" t="s">
        <v>30</v>
      </c>
      <c r="E77" s="47">
        <v>60.7</v>
      </c>
      <c r="F77" s="47">
        <v>10170.4</v>
      </c>
      <c r="G77" s="47">
        <v>10231.1</v>
      </c>
      <c r="H77" s="48">
        <v>3900</v>
      </c>
      <c r="I77" s="48">
        <v>0</v>
      </c>
      <c r="J77" s="48">
        <v>3900</v>
      </c>
      <c r="K77" s="48">
        <v>6331.1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48">
        <f>(K77/V77)*1000</f>
        <v>79.099200399800111</v>
      </c>
      <c r="V77" s="49">
        <v>80040</v>
      </c>
    </row>
    <row r="78" spans="1:22" s="12" customFormat="1">
      <c r="A78" s="45">
        <f t="shared" si="3"/>
        <v>74</v>
      </c>
      <c r="B78" s="46" t="s">
        <v>210</v>
      </c>
      <c r="C78" s="95">
        <v>254</v>
      </c>
      <c r="D78" s="74" t="s">
        <v>43</v>
      </c>
      <c r="E78" s="47">
        <v>0</v>
      </c>
      <c r="F78" s="47">
        <v>18208028</v>
      </c>
      <c r="G78" s="47">
        <v>18208028</v>
      </c>
      <c r="H78" s="48">
        <v>1289386.1000000001</v>
      </c>
      <c r="I78" s="48">
        <v>0</v>
      </c>
      <c r="J78" s="48">
        <v>1289386.1000000001</v>
      </c>
      <c r="K78" s="48">
        <v>16918641.899999999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0</v>
      </c>
      <c r="U78" s="48">
        <f>(K78/V78)*1000</f>
        <v>306908.57127308345</v>
      </c>
      <c r="V78" s="49">
        <v>55126</v>
      </c>
    </row>
    <row r="79" spans="1:22" s="12" customFormat="1">
      <c r="A79" s="45">
        <f t="shared" si="3"/>
        <v>75</v>
      </c>
      <c r="B79" s="46" t="s">
        <v>211</v>
      </c>
      <c r="C79" s="95">
        <v>120</v>
      </c>
      <c r="D79" s="74" t="s">
        <v>81</v>
      </c>
      <c r="E79" s="47">
        <v>0</v>
      </c>
      <c r="F79" s="47">
        <v>20000</v>
      </c>
      <c r="G79" s="47">
        <v>20000</v>
      </c>
      <c r="H79" s="48">
        <v>28587.5</v>
      </c>
      <c r="I79" s="48">
        <v>0</v>
      </c>
      <c r="J79" s="48">
        <v>28587.5</v>
      </c>
      <c r="K79" s="48">
        <v>-8587.5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0</v>
      </c>
      <c r="U79" s="48">
        <f>(K79/V79)*1000</f>
        <v>-171.75</v>
      </c>
      <c r="V79" s="49">
        <v>50000</v>
      </c>
    </row>
    <row r="80" spans="1:22" s="12" customFormat="1">
      <c r="A80" s="45">
        <f t="shared" si="3"/>
        <v>76</v>
      </c>
      <c r="B80" s="46" t="s">
        <v>212</v>
      </c>
      <c r="C80" s="95">
        <v>196</v>
      </c>
      <c r="D80" s="74" t="s">
        <v>92</v>
      </c>
      <c r="E80" s="47">
        <v>268.89999999999998</v>
      </c>
      <c r="F80" s="47">
        <v>5431.1</v>
      </c>
      <c r="G80" s="47">
        <v>5700</v>
      </c>
      <c r="H80" s="48">
        <v>2756.9</v>
      </c>
      <c r="I80" s="48">
        <v>0</v>
      </c>
      <c r="J80" s="48">
        <v>2756.9</v>
      </c>
      <c r="K80" s="48">
        <v>2943.1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>
        <v>0</v>
      </c>
      <c r="U80" s="48">
        <f>(K80/V80)*1000</f>
        <v>51.633333333333333</v>
      </c>
      <c r="V80" s="49">
        <v>57000</v>
      </c>
    </row>
    <row r="81" spans="1:22" s="12" customFormat="1">
      <c r="A81" s="45">
        <f t="shared" si="3"/>
        <v>77</v>
      </c>
      <c r="B81" s="46" t="s">
        <v>213</v>
      </c>
      <c r="C81" s="95">
        <v>420</v>
      </c>
      <c r="D81" s="74" t="s">
        <v>102</v>
      </c>
      <c r="E81" s="47">
        <v>727110.4</v>
      </c>
      <c r="F81" s="47">
        <v>30524.799999999999</v>
      </c>
      <c r="G81" s="47">
        <v>757635.2</v>
      </c>
      <c r="H81" s="48">
        <v>727110.4</v>
      </c>
      <c r="I81" s="48">
        <v>0</v>
      </c>
      <c r="J81" s="48">
        <v>727110.4</v>
      </c>
      <c r="K81" s="48">
        <v>30524.799999999999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48">
        <f>(K81/V81)*1000</f>
        <v>99.999999999999986</v>
      </c>
      <c r="V81" s="49">
        <v>305248</v>
      </c>
    </row>
    <row r="82" spans="1:22" s="12" customFormat="1">
      <c r="A82" s="45">
        <f t="shared" si="3"/>
        <v>78</v>
      </c>
      <c r="B82" s="48" t="s">
        <v>330</v>
      </c>
      <c r="C82" s="95">
        <v>136</v>
      </c>
      <c r="D82" s="60" t="s">
        <v>326</v>
      </c>
      <c r="E82" s="48">
        <v>22484.400000000001</v>
      </c>
      <c r="F82" s="48">
        <v>32349</v>
      </c>
      <c r="G82" s="48">
        <v>54833.4</v>
      </c>
      <c r="H82" s="48">
        <v>14749.9</v>
      </c>
      <c r="I82" s="48">
        <v>0</v>
      </c>
      <c r="J82" s="48">
        <v>14749.9</v>
      </c>
      <c r="K82" s="48">
        <v>40083.5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0</v>
      </c>
      <c r="U82" s="48">
        <f>(K82/V82)*1000</f>
        <v>483.68548708233277</v>
      </c>
      <c r="V82" s="48">
        <v>82871</v>
      </c>
    </row>
    <row r="83" spans="1:22" s="12" customFormat="1">
      <c r="A83" s="45">
        <f t="shared" si="3"/>
        <v>79</v>
      </c>
      <c r="B83" s="46" t="s">
        <v>345</v>
      </c>
      <c r="C83" s="19">
        <v>78</v>
      </c>
      <c r="D83" s="143" t="s">
        <v>340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6">
        <v>0</v>
      </c>
      <c r="P83" s="46">
        <v>0</v>
      </c>
      <c r="Q83" s="46">
        <v>0</v>
      </c>
      <c r="R83" s="46">
        <v>0</v>
      </c>
      <c r="S83" s="47">
        <v>0</v>
      </c>
      <c r="T83" s="47">
        <v>0</v>
      </c>
      <c r="U83" s="48">
        <f>(K83/V83)*1000</f>
        <v>0</v>
      </c>
      <c r="V83" s="49">
        <v>51956</v>
      </c>
    </row>
    <row r="84" spans="1:22" s="12" customFormat="1">
      <c r="A84" s="45">
        <f t="shared" si="3"/>
        <v>80</v>
      </c>
      <c r="B84" s="46" t="s">
        <v>214</v>
      </c>
      <c r="C84" s="95">
        <v>531</v>
      </c>
      <c r="D84" s="74" t="s">
        <v>155</v>
      </c>
      <c r="E84" s="47">
        <v>198702.1</v>
      </c>
      <c r="F84" s="47">
        <v>2338767.6</v>
      </c>
      <c r="G84" s="47">
        <v>2537469.7000000002</v>
      </c>
      <c r="H84" s="48">
        <v>5026331</v>
      </c>
      <c r="I84" s="48">
        <v>0</v>
      </c>
      <c r="J84" s="48">
        <v>5026331</v>
      </c>
      <c r="K84" s="48">
        <v>-2488861.2999999998</v>
      </c>
      <c r="L84" s="48">
        <v>0</v>
      </c>
      <c r="M84" s="48">
        <v>0</v>
      </c>
      <c r="N84" s="48">
        <v>0</v>
      </c>
      <c r="O84" s="48">
        <v>0</v>
      </c>
      <c r="P84" s="48">
        <v>10</v>
      </c>
      <c r="Q84" s="48">
        <v>0</v>
      </c>
      <c r="R84" s="48">
        <v>0</v>
      </c>
      <c r="S84" s="48">
        <v>0</v>
      </c>
      <c r="T84" s="48">
        <v>-10</v>
      </c>
      <c r="U84" s="48">
        <f>(K84/V84)*1000</f>
        <v>-197.28252550924358</v>
      </c>
      <c r="V84" s="49">
        <v>12615721</v>
      </c>
    </row>
    <row r="85" spans="1:22" s="12" customFormat="1">
      <c r="A85" s="45">
        <f t="shared" si="3"/>
        <v>81</v>
      </c>
      <c r="B85" s="46" t="s">
        <v>215</v>
      </c>
      <c r="C85" s="95">
        <v>207</v>
      </c>
      <c r="D85" s="74" t="s">
        <v>39</v>
      </c>
      <c r="E85" s="47">
        <v>56379.9</v>
      </c>
      <c r="F85" s="47">
        <v>739527.6</v>
      </c>
      <c r="G85" s="47">
        <v>795907.5</v>
      </c>
      <c r="H85" s="48">
        <v>39899.4</v>
      </c>
      <c r="I85" s="48">
        <v>0</v>
      </c>
      <c r="J85" s="48">
        <v>39899.4</v>
      </c>
      <c r="K85" s="48">
        <v>756008.1</v>
      </c>
      <c r="L85" s="48">
        <v>0</v>
      </c>
      <c r="M85" s="48">
        <v>0</v>
      </c>
      <c r="N85" s="48">
        <v>0</v>
      </c>
      <c r="O85" s="48">
        <v>0</v>
      </c>
      <c r="P85" s="48">
        <v>500</v>
      </c>
      <c r="Q85" s="48">
        <v>0</v>
      </c>
      <c r="R85" s="48">
        <v>0</v>
      </c>
      <c r="S85" s="48">
        <v>0</v>
      </c>
      <c r="T85" s="48">
        <v>-500</v>
      </c>
      <c r="U85" s="48">
        <f>(K85/V85)*1000</f>
        <v>3818.8206234309414</v>
      </c>
      <c r="V85" s="49">
        <v>197969</v>
      </c>
    </row>
    <row r="86" spans="1:22" s="12" customFormat="1">
      <c r="A86" s="45">
        <f t="shared" si="3"/>
        <v>82</v>
      </c>
      <c r="B86" s="46" t="s">
        <v>216</v>
      </c>
      <c r="C86" s="95">
        <v>187</v>
      </c>
      <c r="D86" s="74" t="s">
        <v>35</v>
      </c>
      <c r="E86" s="47">
        <v>33371.199999999997</v>
      </c>
      <c r="F86" s="47">
        <v>15951.3</v>
      </c>
      <c r="G86" s="47">
        <v>49322.5</v>
      </c>
      <c r="H86" s="48">
        <v>2294.1999999999998</v>
      </c>
      <c r="I86" s="48">
        <v>0</v>
      </c>
      <c r="J86" s="48">
        <v>2294.1999999999998</v>
      </c>
      <c r="K86" s="48">
        <v>47028.3</v>
      </c>
      <c r="L86" s="48">
        <v>800</v>
      </c>
      <c r="M86" s="48">
        <v>0</v>
      </c>
      <c r="N86" s="48">
        <v>800</v>
      </c>
      <c r="O86" s="48">
        <v>0</v>
      </c>
      <c r="P86" s="48">
        <v>1424.6</v>
      </c>
      <c r="Q86" s="48">
        <v>0</v>
      </c>
      <c r="R86" s="48">
        <v>0</v>
      </c>
      <c r="S86" s="48">
        <v>0</v>
      </c>
      <c r="T86" s="48">
        <v>-624.6</v>
      </c>
      <c r="U86" s="48">
        <f>(K86/V86)*1000</f>
        <v>376.45528481316643</v>
      </c>
      <c r="V86" s="49">
        <v>124924</v>
      </c>
    </row>
    <row r="87" spans="1:22" s="12" customFormat="1">
      <c r="A87" s="45">
        <f t="shared" si="3"/>
        <v>83</v>
      </c>
      <c r="B87" s="46" t="s">
        <v>347</v>
      </c>
      <c r="C87" s="19">
        <v>290</v>
      </c>
      <c r="D87" s="143" t="s">
        <v>342</v>
      </c>
      <c r="E87" s="47">
        <v>2430639.7999999998</v>
      </c>
      <c r="F87" s="47">
        <v>11609.8</v>
      </c>
      <c r="G87" s="47">
        <v>2442249.6</v>
      </c>
      <c r="H87" s="47">
        <v>73437.899999999994</v>
      </c>
      <c r="I87" s="47">
        <v>0</v>
      </c>
      <c r="J87" s="47">
        <v>73437.899999999994</v>
      </c>
      <c r="K87" s="47">
        <v>2368811.7000000002</v>
      </c>
      <c r="L87" s="47">
        <v>0</v>
      </c>
      <c r="M87" s="47">
        <v>0</v>
      </c>
      <c r="N87" s="47">
        <v>0</v>
      </c>
      <c r="O87" s="46">
        <v>0</v>
      </c>
      <c r="P87" s="46">
        <v>660</v>
      </c>
      <c r="Q87" s="46">
        <v>0</v>
      </c>
      <c r="R87" s="46">
        <v>0</v>
      </c>
      <c r="S87" s="47">
        <v>0</v>
      </c>
      <c r="T87" s="47">
        <v>-660</v>
      </c>
      <c r="U87" s="48">
        <f>(K87/V87)*1000</f>
        <v>17312.58459649482</v>
      </c>
      <c r="V87" s="49">
        <v>136826</v>
      </c>
    </row>
    <row r="88" spans="1:22" s="12" customFormat="1">
      <c r="A88" s="45">
        <f t="shared" si="3"/>
        <v>84</v>
      </c>
      <c r="B88" s="50" t="s">
        <v>293</v>
      </c>
      <c r="C88" s="95">
        <v>231</v>
      </c>
      <c r="D88" s="74" t="s">
        <v>285</v>
      </c>
      <c r="E88" s="47">
        <v>484.8</v>
      </c>
      <c r="F88" s="47">
        <v>21973.3</v>
      </c>
      <c r="G88" s="47">
        <v>22458.1</v>
      </c>
      <c r="H88" s="48">
        <v>94185.600000000006</v>
      </c>
      <c r="I88" s="48">
        <v>0</v>
      </c>
      <c r="J88" s="48">
        <v>94185.600000000006</v>
      </c>
      <c r="K88" s="48">
        <v>-71727.5</v>
      </c>
      <c r="L88" s="48">
        <v>0</v>
      </c>
      <c r="M88" s="48">
        <v>0</v>
      </c>
      <c r="N88" s="48">
        <v>0</v>
      </c>
      <c r="O88" s="48">
        <v>880</v>
      </c>
      <c r="P88" s="48">
        <v>2257.5</v>
      </c>
      <c r="Q88" s="48">
        <v>0</v>
      </c>
      <c r="R88" s="48">
        <v>0</v>
      </c>
      <c r="S88" s="48">
        <v>0</v>
      </c>
      <c r="T88" s="48">
        <v>-1377.5</v>
      </c>
      <c r="U88" s="48">
        <f>(K88/V88)*1000</f>
        <v>-1272.192759972331</v>
      </c>
      <c r="V88" s="49">
        <v>56381</v>
      </c>
    </row>
    <row r="89" spans="1:22" s="12" customFormat="1">
      <c r="A89" s="45">
        <f t="shared" si="3"/>
        <v>85</v>
      </c>
      <c r="B89" s="46" t="s">
        <v>318</v>
      </c>
      <c r="C89" s="95">
        <v>80</v>
      </c>
      <c r="D89" s="74" t="s">
        <v>306</v>
      </c>
      <c r="E89" s="47">
        <v>737.9</v>
      </c>
      <c r="F89" s="47">
        <v>44519.5</v>
      </c>
      <c r="G89" s="47">
        <v>45257.4</v>
      </c>
      <c r="H89" s="48">
        <v>13828.7</v>
      </c>
      <c r="I89" s="48">
        <v>0</v>
      </c>
      <c r="J89" s="48">
        <v>13828.7</v>
      </c>
      <c r="K89" s="48">
        <v>31428.7</v>
      </c>
      <c r="L89" s="48">
        <v>7283</v>
      </c>
      <c r="M89" s="48">
        <v>0</v>
      </c>
      <c r="N89" s="48">
        <v>7283</v>
      </c>
      <c r="O89" s="48">
        <v>0</v>
      </c>
      <c r="P89" s="48">
        <v>8682.2999999999993</v>
      </c>
      <c r="Q89" s="48">
        <v>0</v>
      </c>
      <c r="R89" s="48">
        <v>0</v>
      </c>
      <c r="S89" s="48">
        <v>0</v>
      </c>
      <c r="T89" s="48">
        <v>-1399.3</v>
      </c>
      <c r="U89" s="48">
        <f>(K89/V89)*1000</f>
        <v>440.35672752238304</v>
      </c>
      <c r="V89" s="49">
        <v>71371</v>
      </c>
    </row>
    <row r="90" spans="1:22" s="12" customFormat="1">
      <c r="A90" s="45">
        <f t="shared" si="3"/>
        <v>86</v>
      </c>
      <c r="B90" s="46" t="s">
        <v>217</v>
      </c>
      <c r="C90" s="95">
        <v>152</v>
      </c>
      <c r="D90" s="74" t="s">
        <v>58</v>
      </c>
      <c r="E90" s="47">
        <v>121.8</v>
      </c>
      <c r="F90" s="47">
        <v>6670</v>
      </c>
      <c r="G90" s="47">
        <v>6791.8</v>
      </c>
      <c r="H90" s="48">
        <v>10400.200000000001</v>
      </c>
      <c r="I90" s="48">
        <v>0</v>
      </c>
      <c r="J90" s="48">
        <v>10400.200000000001</v>
      </c>
      <c r="K90" s="48">
        <v>-3608.4</v>
      </c>
      <c r="L90" s="48">
        <v>0</v>
      </c>
      <c r="M90" s="48">
        <v>0</v>
      </c>
      <c r="N90" s="48">
        <v>0</v>
      </c>
      <c r="O90" s="48">
        <v>0</v>
      </c>
      <c r="P90" s="48">
        <v>1800.2</v>
      </c>
      <c r="Q90" s="48">
        <v>0</v>
      </c>
      <c r="R90" s="48">
        <v>0</v>
      </c>
      <c r="S90" s="48">
        <v>0</v>
      </c>
      <c r="T90" s="48">
        <v>-1800.2</v>
      </c>
      <c r="U90" s="48">
        <f>(K90/V90)*1000</f>
        <v>-50.00762226810982</v>
      </c>
      <c r="V90" s="49">
        <v>72157</v>
      </c>
    </row>
    <row r="91" spans="1:22" s="12" customFormat="1">
      <c r="A91" s="45">
        <f t="shared" si="3"/>
        <v>87</v>
      </c>
      <c r="B91" s="46" t="s">
        <v>218</v>
      </c>
      <c r="C91" s="95">
        <v>517</v>
      </c>
      <c r="D91" s="74" t="s">
        <v>86</v>
      </c>
      <c r="E91" s="47">
        <v>3012774</v>
      </c>
      <c r="F91" s="47">
        <v>2366039.7999999998</v>
      </c>
      <c r="G91" s="47">
        <v>5378813.7999999998</v>
      </c>
      <c r="H91" s="48">
        <v>2657123.2000000002</v>
      </c>
      <c r="I91" s="48">
        <v>0</v>
      </c>
      <c r="J91" s="48">
        <v>2657123.2000000002</v>
      </c>
      <c r="K91" s="48">
        <v>2721690.6</v>
      </c>
      <c r="L91" s="48">
        <v>96784.9</v>
      </c>
      <c r="M91" s="48">
        <v>0</v>
      </c>
      <c r="N91" s="48">
        <v>96784.9</v>
      </c>
      <c r="O91" s="48">
        <v>0</v>
      </c>
      <c r="P91" s="48">
        <v>98789.8</v>
      </c>
      <c r="Q91" s="48">
        <v>0</v>
      </c>
      <c r="R91" s="48">
        <v>0</v>
      </c>
      <c r="S91" s="48">
        <v>0</v>
      </c>
      <c r="T91" s="48">
        <v>-2004.9</v>
      </c>
      <c r="U91" s="48">
        <f>(K91/V91)*1000</f>
        <v>272.16906</v>
      </c>
      <c r="V91" s="49">
        <v>10000000</v>
      </c>
    </row>
    <row r="92" spans="1:22" s="12" customFormat="1">
      <c r="A92" s="45">
        <f t="shared" si="3"/>
        <v>88</v>
      </c>
      <c r="B92" s="46" t="s">
        <v>219</v>
      </c>
      <c r="C92" s="95">
        <v>386</v>
      </c>
      <c r="D92" s="74" t="s">
        <v>112</v>
      </c>
      <c r="E92" s="47">
        <v>1191859.7</v>
      </c>
      <c r="F92" s="47">
        <v>766130.9</v>
      </c>
      <c r="G92" s="47">
        <v>1957990.6</v>
      </c>
      <c r="H92" s="48">
        <v>287689.7</v>
      </c>
      <c r="I92" s="48">
        <v>0</v>
      </c>
      <c r="J92" s="48">
        <v>287689.7</v>
      </c>
      <c r="K92" s="48">
        <v>1670300.9</v>
      </c>
      <c r="L92" s="48">
        <v>0</v>
      </c>
      <c r="M92" s="48">
        <v>334894.59999999998</v>
      </c>
      <c r="N92" s="48">
        <v>-334894.59999999998</v>
      </c>
      <c r="O92" s="48">
        <v>454171.8</v>
      </c>
      <c r="P92" s="48">
        <v>121292.5</v>
      </c>
      <c r="Q92" s="48">
        <v>0</v>
      </c>
      <c r="R92" s="48">
        <v>0</v>
      </c>
      <c r="S92" s="48">
        <v>0</v>
      </c>
      <c r="T92" s="48">
        <v>-2015.3</v>
      </c>
      <c r="U92" s="48">
        <f>(K92/V92)*1000</f>
        <v>384.35096657209192</v>
      </c>
      <c r="V92" s="49">
        <v>4345770</v>
      </c>
    </row>
    <row r="93" spans="1:22" s="12" customFormat="1">
      <c r="A93" s="45">
        <f t="shared" si="3"/>
        <v>89</v>
      </c>
      <c r="B93" s="46" t="s">
        <v>220</v>
      </c>
      <c r="C93" s="95">
        <v>448</v>
      </c>
      <c r="D93" s="74" t="s">
        <v>117</v>
      </c>
      <c r="E93" s="47">
        <v>8.9</v>
      </c>
      <c r="F93" s="47">
        <v>110190.9</v>
      </c>
      <c r="G93" s="47">
        <v>110199.8</v>
      </c>
      <c r="H93" s="48">
        <v>0</v>
      </c>
      <c r="I93" s="48">
        <v>0</v>
      </c>
      <c r="J93" s="48">
        <v>0</v>
      </c>
      <c r="K93" s="48">
        <v>110199.8</v>
      </c>
      <c r="L93" s="48">
        <v>13000</v>
      </c>
      <c r="M93" s="48">
        <v>0</v>
      </c>
      <c r="N93" s="48">
        <v>13000</v>
      </c>
      <c r="O93" s="48">
        <v>0</v>
      </c>
      <c r="P93" s="48">
        <v>15544.2</v>
      </c>
      <c r="Q93" s="48">
        <v>0</v>
      </c>
      <c r="R93" s="48">
        <v>0</v>
      </c>
      <c r="S93" s="48">
        <v>0</v>
      </c>
      <c r="T93" s="48">
        <v>-2544.1999999999998</v>
      </c>
      <c r="U93" s="48">
        <f>(K93/V93)*1000</f>
        <v>154.44983104391179</v>
      </c>
      <c r="V93" s="49">
        <v>713499</v>
      </c>
    </row>
    <row r="94" spans="1:22" s="12" customFormat="1">
      <c r="A94" s="45">
        <f t="shared" si="3"/>
        <v>90</v>
      </c>
      <c r="B94" s="46" t="s">
        <v>221</v>
      </c>
      <c r="C94" s="95">
        <v>490</v>
      </c>
      <c r="D94" s="74" t="s">
        <v>66</v>
      </c>
      <c r="E94" s="47">
        <v>15917.2</v>
      </c>
      <c r="F94" s="47">
        <v>0</v>
      </c>
      <c r="G94" s="47">
        <v>15917.2</v>
      </c>
      <c r="H94" s="48">
        <v>16832.400000000001</v>
      </c>
      <c r="I94" s="48">
        <v>0</v>
      </c>
      <c r="J94" s="48">
        <v>16832.400000000001</v>
      </c>
      <c r="K94" s="48">
        <v>-915.2</v>
      </c>
      <c r="L94" s="48">
        <v>0</v>
      </c>
      <c r="M94" s="48">
        <v>0</v>
      </c>
      <c r="N94" s="48">
        <v>0</v>
      </c>
      <c r="O94" s="48">
        <v>0</v>
      </c>
      <c r="P94" s="48">
        <v>3244.1</v>
      </c>
      <c r="Q94" s="48">
        <v>16.5</v>
      </c>
      <c r="R94" s="48">
        <v>0</v>
      </c>
      <c r="S94" s="48">
        <v>0</v>
      </c>
      <c r="T94" s="48">
        <v>-3227.6</v>
      </c>
      <c r="U94" s="48">
        <f>(K94/V94)*1000</f>
        <v>-22.945969662780495</v>
      </c>
      <c r="V94" s="49">
        <v>39885</v>
      </c>
    </row>
    <row r="95" spans="1:22" s="12" customFormat="1">
      <c r="A95" s="45">
        <f t="shared" si="3"/>
        <v>91</v>
      </c>
      <c r="B95" s="48" t="s">
        <v>332</v>
      </c>
      <c r="C95" s="95">
        <v>148</v>
      </c>
      <c r="D95" s="60" t="s">
        <v>328</v>
      </c>
      <c r="E95" s="48">
        <v>25697.1</v>
      </c>
      <c r="F95" s="48">
        <v>0</v>
      </c>
      <c r="G95" s="48">
        <v>25697.1</v>
      </c>
      <c r="H95" s="48">
        <v>0</v>
      </c>
      <c r="I95" s="48">
        <v>0</v>
      </c>
      <c r="J95" s="48">
        <v>0</v>
      </c>
      <c r="K95" s="48">
        <v>25697.1</v>
      </c>
      <c r="L95" s="48">
        <v>0</v>
      </c>
      <c r="M95" s="48">
        <v>0</v>
      </c>
      <c r="N95" s="48">
        <v>0</v>
      </c>
      <c r="O95" s="48">
        <v>0</v>
      </c>
      <c r="P95" s="48">
        <v>3513.6</v>
      </c>
      <c r="Q95" s="48">
        <v>0.9</v>
      </c>
      <c r="R95" s="48">
        <v>0</v>
      </c>
      <c r="S95" s="48">
        <v>0</v>
      </c>
      <c r="T95" s="48">
        <v>-3512.7</v>
      </c>
      <c r="U95" s="48">
        <f>(K95/V95)*1000</f>
        <v>68.705516846782771</v>
      </c>
      <c r="V95" s="48">
        <v>374018</v>
      </c>
    </row>
    <row r="96" spans="1:22" s="12" customFormat="1">
      <c r="A96" s="45">
        <f t="shared" si="3"/>
        <v>92</v>
      </c>
      <c r="B96" s="46" t="s">
        <v>273</v>
      </c>
      <c r="C96" s="95">
        <v>300</v>
      </c>
      <c r="D96" s="74" t="s">
        <v>262</v>
      </c>
      <c r="E96" s="48">
        <v>17299.900000000001</v>
      </c>
      <c r="F96" s="48">
        <v>9718</v>
      </c>
      <c r="G96" s="48">
        <v>27017.9</v>
      </c>
      <c r="H96" s="48">
        <v>53612.9</v>
      </c>
      <c r="I96" s="48">
        <v>0</v>
      </c>
      <c r="J96" s="48">
        <v>53612.9</v>
      </c>
      <c r="K96" s="48">
        <v>-26595</v>
      </c>
      <c r="L96" s="48">
        <v>0</v>
      </c>
      <c r="M96" s="48">
        <v>0</v>
      </c>
      <c r="N96" s="48">
        <v>0</v>
      </c>
      <c r="O96" s="48">
        <v>0</v>
      </c>
      <c r="P96" s="48">
        <v>3646.9</v>
      </c>
      <c r="Q96" s="48">
        <v>0</v>
      </c>
      <c r="R96" s="48">
        <v>0</v>
      </c>
      <c r="S96" s="48">
        <v>0</v>
      </c>
      <c r="T96" s="48">
        <v>-3646.9</v>
      </c>
      <c r="U96" s="48">
        <f>(K96/V96)*1000</f>
        <v>-377.66259585345074</v>
      </c>
      <c r="V96" s="49">
        <v>70420</v>
      </c>
    </row>
    <row r="97" spans="1:22" s="12" customFormat="1">
      <c r="A97" s="45">
        <f t="shared" si="3"/>
        <v>93</v>
      </c>
      <c r="B97" s="50" t="s">
        <v>297</v>
      </c>
      <c r="C97" s="95">
        <v>407</v>
      </c>
      <c r="D97" s="74" t="s">
        <v>292</v>
      </c>
      <c r="E97" s="47">
        <v>100.2</v>
      </c>
      <c r="F97" s="47">
        <v>11081.3</v>
      </c>
      <c r="G97" s="47">
        <v>11181.5</v>
      </c>
      <c r="H97" s="48">
        <v>55871.8</v>
      </c>
      <c r="I97" s="48">
        <v>0</v>
      </c>
      <c r="J97" s="48">
        <v>55871.8</v>
      </c>
      <c r="K97" s="48">
        <v>-44690.3</v>
      </c>
      <c r="L97" s="48">
        <v>0</v>
      </c>
      <c r="M97" s="48">
        <v>0</v>
      </c>
      <c r="N97" s="48">
        <v>0</v>
      </c>
      <c r="O97" s="48">
        <v>0</v>
      </c>
      <c r="P97" s="48">
        <v>5630.4</v>
      </c>
      <c r="Q97" s="48">
        <v>0</v>
      </c>
      <c r="R97" s="48">
        <v>0</v>
      </c>
      <c r="S97" s="48">
        <v>0</v>
      </c>
      <c r="T97" s="48">
        <v>-5630.4</v>
      </c>
      <c r="U97" s="48">
        <f>(K97/V97)*1000</f>
        <v>-403.29473978684814</v>
      </c>
      <c r="V97" s="49">
        <v>110813</v>
      </c>
    </row>
    <row r="98" spans="1:22" s="12" customFormat="1">
      <c r="A98" s="45">
        <f t="shared" si="3"/>
        <v>94</v>
      </c>
      <c r="B98" s="46" t="s">
        <v>222</v>
      </c>
      <c r="C98" s="95">
        <v>133</v>
      </c>
      <c r="D98" s="74" t="s">
        <v>64</v>
      </c>
      <c r="E98" s="47">
        <v>761.1</v>
      </c>
      <c r="F98" s="47">
        <v>387575.6</v>
      </c>
      <c r="G98" s="47">
        <v>388336.7</v>
      </c>
      <c r="H98" s="48">
        <v>49317.8</v>
      </c>
      <c r="I98" s="48">
        <v>0</v>
      </c>
      <c r="J98" s="48">
        <v>49317.8</v>
      </c>
      <c r="K98" s="48">
        <v>339018.9</v>
      </c>
      <c r="L98" s="48">
        <v>0</v>
      </c>
      <c r="M98" s="48">
        <v>0</v>
      </c>
      <c r="N98" s="48">
        <v>0</v>
      </c>
      <c r="O98" s="48">
        <v>0</v>
      </c>
      <c r="P98" s="48">
        <v>5804.7</v>
      </c>
      <c r="Q98" s="48">
        <v>0</v>
      </c>
      <c r="R98" s="48">
        <v>0</v>
      </c>
      <c r="S98" s="48">
        <v>0</v>
      </c>
      <c r="T98" s="48">
        <v>-5804.7</v>
      </c>
      <c r="U98" s="48">
        <f>(K98/V98)*1000</f>
        <v>164.87882811246152</v>
      </c>
      <c r="V98" s="49">
        <v>2056170</v>
      </c>
    </row>
    <row r="99" spans="1:22" s="12" customFormat="1">
      <c r="A99" s="45">
        <f t="shared" si="3"/>
        <v>95</v>
      </c>
      <c r="B99" s="46" t="s">
        <v>223</v>
      </c>
      <c r="C99" s="95">
        <v>425</v>
      </c>
      <c r="D99" s="74" t="s">
        <v>154</v>
      </c>
      <c r="E99" s="47">
        <v>145397.6</v>
      </c>
      <c r="F99" s="47">
        <v>574874.1</v>
      </c>
      <c r="G99" s="47">
        <v>720271.7</v>
      </c>
      <c r="H99" s="48">
        <v>328187.7</v>
      </c>
      <c r="I99" s="48">
        <v>0</v>
      </c>
      <c r="J99" s="48">
        <v>328187.7</v>
      </c>
      <c r="K99" s="48">
        <v>392084</v>
      </c>
      <c r="L99" s="48">
        <v>0</v>
      </c>
      <c r="M99" s="48">
        <v>0</v>
      </c>
      <c r="N99" s="48">
        <v>0</v>
      </c>
      <c r="O99" s="48">
        <v>0</v>
      </c>
      <c r="P99" s="48">
        <v>8207</v>
      </c>
      <c r="Q99" s="48">
        <v>0</v>
      </c>
      <c r="R99" s="48">
        <v>0</v>
      </c>
      <c r="S99" s="48">
        <v>0</v>
      </c>
      <c r="T99" s="48">
        <v>-8207</v>
      </c>
      <c r="U99" s="48">
        <f>(K99/V99)*1000</f>
        <v>3931.8491776975534</v>
      </c>
      <c r="V99" s="49">
        <v>99720</v>
      </c>
    </row>
    <row r="100" spans="1:22" s="12" customFormat="1">
      <c r="A100" s="45">
        <f t="shared" si="3"/>
        <v>96</v>
      </c>
      <c r="B100" s="46" t="s">
        <v>224</v>
      </c>
      <c r="C100" s="95">
        <v>471</v>
      </c>
      <c r="D100" s="74" t="s">
        <v>89</v>
      </c>
      <c r="E100" s="47">
        <v>98356.800000000003</v>
      </c>
      <c r="F100" s="47">
        <v>19785</v>
      </c>
      <c r="G100" s="47">
        <v>118141.8</v>
      </c>
      <c r="H100" s="48">
        <v>149478.9</v>
      </c>
      <c r="I100" s="48">
        <v>0</v>
      </c>
      <c r="J100" s="48">
        <v>149478.9</v>
      </c>
      <c r="K100" s="48">
        <v>-31337.1</v>
      </c>
      <c r="L100" s="48">
        <v>0</v>
      </c>
      <c r="M100" s="48">
        <v>0</v>
      </c>
      <c r="N100" s="48">
        <v>0</v>
      </c>
      <c r="O100" s="48">
        <v>0</v>
      </c>
      <c r="P100" s="48">
        <v>10654.6</v>
      </c>
      <c r="Q100" s="48">
        <v>0</v>
      </c>
      <c r="R100" s="48">
        <v>0</v>
      </c>
      <c r="S100" s="48">
        <v>0</v>
      </c>
      <c r="T100" s="48">
        <v>-10654.6</v>
      </c>
      <c r="U100" s="48">
        <f>(K100/V100)*1000</f>
        <v>-255.25670579227315</v>
      </c>
      <c r="V100" s="49">
        <v>122767</v>
      </c>
    </row>
    <row r="101" spans="1:22" s="12" customFormat="1">
      <c r="A101" s="45">
        <f t="shared" si="3"/>
        <v>97</v>
      </c>
      <c r="B101" s="46" t="s">
        <v>225</v>
      </c>
      <c r="C101" s="95">
        <v>33</v>
      </c>
      <c r="D101" s="74" t="s">
        <v>32</v>
      </c>
      <c r="E101" s="47">
        <v>36427.5</v>
      </c>
      <c r="F101" s="47">
        <v>173243.7</v>
      </c>
      <c r="G101" s="47">
        <v>209671.2</v>
      </c>
      <c r="H101" s="48">
        <v>142900</v>
      </c>
      <c r="I101" s="48">
        <v>0</v>
      </c>
      <c r="J101" s="48">
        <v>142900</v>
      </c>
      <c r="K101" s="48">
        <v>66771.199999999997</v>
      </c>
      <c r="L101" s="48">
        <v>0</v>
      </c>
      <c r="M101" s="48">
        <v>0</v>
      </c>
      <c r="N101" s="48">
        <v>0</v>
      </c>
      <c r="O101" s="48">
        <v>97506.2</v>
      </c>
      <c r="P101" s="48">
        <v>114490.1</v>
      </c>
      <c r="Q101" s="48">
        <v>0</v>
      </c>
      <c r="R101" s="48">
        <v>0</v>
      </c>
      <c r="S101" s="48">
        <v>0</v>
      </c>
      <c r="T101" s="48">
        <v>-16983.900000000001</v>
      </c>
      <c r="U101" s="48">
        <f>(K101/V101)*1000</f>
        <v>1052.2440746343923</v>
      </c>
      <c r="V101" s="49">
        <v>63456</v>
      </c>
    </row>
    <row r="102" spans="1:22" s="12" customFormat="1">
      <c r="A102" s="45">
        <f t="shared" si="3"/>
        <v>98</v>
      </c>
      <c r="B102" s="46" t="s">
        <v>226</v>
      </c>
      <c r="C102" s="95">
        <v>373</v>
      </c>
      <c r="D102" s="74" t="s">
        <v>70</v>
      </c>
      <c r="E102" s="47">
        <v>61792.2</v>
      </c>
      <c r="F102" s="47">
        <v>553706.19999999995</v>
      </c>
      <c r="G102" s="47">
        <v>615498.4</v>
      </c>
      <c r="H102" s="48">
        <v>276498.09999999998</v>
      </c>
      <c r="I102" s="48">
        <v>3482299.6</v>
      </c>
      <c r="J102" s="48">
        <v>3758797.7</v>
      </c>
      <c r="K102" s="48">
        <v>-3143299.3</v>
      </c>
      <c r="L102" s="48">
        <v>250384</v>
      </c>
      <c r="M102" s="48">
        <v>203163.8</v>
      </c>
      <c r="N102" s="48">
        <v>47220.2</v>
      </c>
      <c r="O102" s="48">
        <v>5227.2</v>
      </c>
      <c r="P102" s="48">
        <v>77743.899999999994</v>
      </c>
      <c r="Q102" s="48">
        <v>0</v>
      </c>
      <c r="R102" s="48">
        <v>0</v>
      </c>
      <c r="S102" s="48">
        <v>180.3</v>
      </c>
      <c r="T102" s="48">
        <v>-25476.799999999999</v>
      </c>
      <c r="U102" s="48">
        <f>(K102/V102)*1000</f>
        <v>-33288.493635227584</v>
      </c>
      <c r="V102" s="49">
        <v>94426</v>
      </c>
    </row>
    <row r="103" spans="1:22" s="12" customFormat="1">
      <c r="A103" s="45">
        <f t="shared" si="3"/>
        <v>99</v>
      </c>
      <c r="B103" s="46" t="s">
        <v>227</v>
      </c>
      <c r="C103" s="95">
        <v>40</v>
      </c>
      <c r="D103" s="74" t="s">
        <v>84</v>
      </c>
      <c r="E103" s="47">
        <v>3487158.7</v>
      </c>
      <c r="F103" s="47">
        <v>1851158.7</v>
      </c>
      <c r="G103" s="47">
        <v>5338317.4000000004</v>
      </c>
      <c r="H103" s="48">
        <v>8942304.1999999993</v>
      </c>
      <c r="I103" s="48">
        <v>1452938.7</v>
      </c>
      <c r="J103" s="48">
        <v>10395242.9</v>
      </c>
      <c r="K103" s="48">
        <v>-5056925.5</v>
      </c>
      <c r="L103" s="48">
        <v>0</v>
      </c>
      <c r="M103" s="48">
        <v>0</v>
      </c>
      <c r="N103" s="48">
        <v>0</v>
      </c>
      <c r="O103" s="48">
        <v>325989</v>
      </c>
      <c r="P103" s="48">
        <v>357766.7</v>
      </c>
      <c r="Q103" s="48">
        <v>0</v>
      </c>
      <c r="R103" s="48">
        <v>0</v>
      </c>
      <c r="S103" s="48">
        <v>0</v>
      </c>
      <c r="T103" s="48">
        <v>-31777.7</v>
      </c>
      <c r="U103" s="48">
        <f>(K103/V103)*1000</f>
        <v>-15858.44630721998</v>
      </c>
      <c r="V103" s="49">
        <v>318879</v>
      </c>
    </row>
    <row r="104" spans="1:22" s="12" customFormat="1">
      <c r="A104" s="45">
        <f t="shared" si="3"/>
        <v>100</v>
      </c>
      <c r="B104" s="46" t="s">
        <v>228</v>
      </c>
      <c r="C104" s="95">
        <v>154</v>
      </c>
      <c r="D104" s="74" t="s">
        <v>56</v>
      </c>
      <c r="E104" s="47">
        <v>469031.2</v>
      </c>
      <c r="F104" s="47">
        <v>698595.3</v>
      </c>
      <c r="G104" s="47">
        <v>1167626.5</v>
      </c>
      <c r="H104" s="48">
        <v>98251.5</v>
      </c>
      <c r="I104" s="48">
        <v>0</v>
      </c>
      <c r="J104" s="48">
        <v>98251.5</v>
      </c>
      <c r="K104" s="48">
        <v>1069375</v>
      </c>
      <c r="L104" s="48">
        <v>0</v>
      </c>
      <c r="M104" s="48">
        <v>0</v>
      </c>
      <c r="N104" s="48">
        <v>0</v>
      </c>
      <c r="O104" s="48">
        <v>0</v>
      </c>
      <c r="P104" s="48">
        <v>35922.9</v>
      </c>
      <c r="Q104" s="48">
        <v>0</v>
      </c>
      <c r="R104" s="48">
        <v>0</v>
      </c>
      <c r="S104" s="48">
        <v>0</v>
      </c>
      <c r="T104" s="48">
        <v>-35922.9</v>
      </c>
      <c r="U104" s="48">
        <f>(K104/V104)*1000</f>
        <v>2712.0984635985978</v>
      </c>
      <c r="V104" s="49">
        <v>394298</v>
      </c>
    </row>
    <row r="105" spans="1:22" s="12" customFormat="1">
      <c r="A105" s="45">
        <f t="shared" si="3"/>
        <v>101</v>
      </c>
      <c r="B105" s="46" t="s">
        <v>316</v>
      </c>
      <c r="C105" s="95">
        <v>61</v>
      </c>
      <c r="D105" s="74" t="s">
        <v>304</v>
      </c>
      <c r="E105" s="47">
        <v>39873.300000000003</v>
      </c>
      <c r="F105" s="47">
        <v>225233.2</v>
      </c>
      <c r="G105" s="47">
        <v>265106.5</v>
      </c>
      <c r="H105" s="48">
        <v>349730.6</v>
      </c>
      <c r="I105" s="48">
        <v>0</v>
      </c>
      <c r="J105" s="48">
        <v>349730.6</v>
      </c>
      <c r="K105" s="48">
        <v>-84624.1</v>
      </c>
      <c r="L105" s="48">
        <v>11683.9</v>
      </c>
      <c r="M105" s="48">
        <v>0</v>
      </c>
      <c r="N105" s="48">
        <v>11683.9</v>
      </c>
      <c r="O105" s="48">
        <v>0</v>
      </c>
      <c r="P105" s="48">
        <v>56229.2</v>
      </c>
      <c r="Q105" s="48">
        <v>0</v>
      </c>
      <c r="R105" s="48">
        <v>0</v>
      </c>
      <c r="S105" s="48">
        <v>0</v>
      </c>
      <c r="T105" s="48">
        <v>-44545.3</v>
      </c>
      <c r="U105" s="48">
        <f>(K105/V105)*1000</f>
        <v>-1140.9632056519572</v>
      </c>
      <c r="V105" s="49">
        <v>74169</v>
      </c>
    </row>
    <row r="106" spans="1:22" s="12" customFormat="1">
      <c r="A106" s="45">
        <f t="shared" si="3"/>
        <v>102</v>
      </c>
      <c r="B106" s="50" t="s">
        <v>312</v>
      </c>
      <c r="C106" s="95">
        <v>69</v>
      </c>
      <c r="D106" s="74" t="s">
        <v>301</v>
      </c>
      <c r="E106" s="47">
        <v>979523.2</v>
      </c>
      <c r="F106" s="47">
        <v>2366010.7999999998</v>
      </c>
      <c r="G106" s="47">
        <v>3345534</v>
      </c>
      <c r="H106" s="48">
        <v>1817023.3</v>
      </c>
      <c r="I106" s="48">
        <v>0</v>
      </c>
      <c r="J106" s="48">
        <v>1817023.3</v>
      </c>
      <c r="K106" s="48">
        <v>1528510.7</v>
      </c>
      <c r="L106" s="48">
        <v>16800</v>
      </c>
      <c r="M106" s="48">
        <v>0</v>
      </c>
      <c r="N106" s="48">
        <v>16800</v>
      </c>
      <c r="O106" s="48">
        <v>0</v>
      </c>
      <c r="P106" s="48">
        <v>62307.4</v>
      </c>
      <c r="Q106" s="48">
        <v>0</v>
      </c>
      <c r="R106" s="48">
        <v>0</v>
      </c>
      <c r="S106" s="48">
        <v>0</v>
      </c>
      <c r="T106" s="48">
        <v>-45507.4</v>
      </c>
      <c r="U106" s="48">
        <f>(K106/V106)*1000</f>
        <v>3342.5193475517885</v>
      </c>
      <c r="V106" s="49">
        <v>457293</v>
      </c>
    </row>
    <row r="107" spans="1:22" s="12" customFormat="1">
      <c r="A107" s="45">
        <f t="shared" si="3"/>
        <v>103</v>
      </c>
      <c r="B107" s="46" t="s">
        <v>229</v>
      </c>
      <c r="C107" s="95">
        <v>519</v>
      </c>
      <c r="D107" s="74" t="s">
        <v>53</v>
      </c>
      <c r="E107" s="47">
        <v>340872.5</v>
      </c>
      <c r="F107" s="47">
        <v>6362834.7000000002</v>
      </c>
      <c r="G107" s="47">
        <v>6703707.2000000002</v>
      </c>
      <c r="H107" s="48">
        <v>1334968.5</v>
      </c>
      <c r="I107" s="48">
        <v>9390</v>
      </c>
      <c r="J107" s="48">
        <v>1344358.5</v>
      </c>
      <c r="K107" s="48">
        <v>5359348.7</v>
      </c>
      <c r="L107" s="48">
        <v>3359315.8</v>
      </c>
      <c r="M107" s="48">
        <v>3403412.1</v>
      </c>
      <c r="N107" s="48">
        <v>-44096.3</v>
      </c>
      <c r="O107" s="48">
        <v>231078.8</v>
      </c>
      <c r="P107" s="48">
        <v>234034.1</v>
      </c>
      <c r="Q107" s="48">
        <v>0</v>
      </c>
      <c r="R107" s="48">
        <v>0</v>
      </c>
      <c r="S107" s="48">
        <v>0</v>
      </c>
      <c r="T107" s="48">
        <v>-47051.6</v>
      </c>
      <c r="U107" s="48">
        <f>(K107/V107)*1000</f>
        <v>300.86114003290675</v>
      </c>
      <c r="V107" s="49">
        <v>17813363</v>
      </c>
    </row>
    <row r="108" spans="1:22" s="12" customFormat="1">
      <c r="A108" s="45">
        <f t="shared" si="3"/>
        <v>104</v>
      </c>
      <c r="B108" s="46" t="s">
        <v>272</v>
      </c>
      <c r="C108" s="95">
        <v>97</v>
      </c>
      <c r="D108" s="74" t="s">
        <v>261</v>
      </c>
      <c r="E108" s="48">
        <v>118010.8</v>
      </c>
      <c r="F108" s="48">
        <v>887538.6</v>
      </c>
      <c r="G108" s="48">
        <v>1005549.4</v>
      </c>
      <c r="H108" s="48">
        <v>633748.30000000005</v>
      </c>
      <c r="I108" s="48">
        <v>0</v>
      </c>
      <c r="J108" s="48">
        <v>633748.30000000005</v>
      </c>
      <c r="K108" s="48">
        <v>371801.1</v>
      </c>
      <c r="L108" s="48">
        <v>71107.199999999997</v>
      </c>
      <c r="M108" s="48">
        <v>0</v>
      </c>
      <c r="N108" s="48">
        <v>71107.199999999997</v>
      </c>
      <c r="O108" s="48">
        <v>0</v>
      </c>
      <c r="P108" s="48">
        <v>119288.8</v>
      </c>
      <c r="Q108" s="48">
        <v>0</v>
      </c>
      <c r="R108" s="48">
        <v>0</v>
      </c>
      <c r="S108" s="48">
        <v>0</v>
      </c>
      <c r="T108" s="48">
        <v>-48181.599999999999</v>
      </c>
      <c r="U108" s="48">
        <f>(K108/V108)*1000</f>
        <v>417.10355086673809</v>
      </c>
      <c r="V108" s="49">
        <v>891388</v>
      </c>
    </row>
    <row r="109" spans="1:22" s="12" customFormat="1">
      <c r="A109" s="45">
        <f t="shared" si="3"/>
        <v>105</v>
      </c>
      <c r="B109" s="46" t="s">
        <v>230</v>
      </c>
      <c r="C109" s="95">
        <v>41</v>
      </c>
      <c r="D109" s="74" t="s">
        <v>106</v>
      </c>
      <c r="E109" s="47">
        <v>59963.5</v>
      </c>
      <c r="F109" s="47">
        <v>408831.2</v>
      </c>
      <c r="G109" s="47">
        <v>468794.7</v>
      </c>
      <c r="H109" s="48">
        <v>95810.9</v>
      </c>
      <c r="I109" s="48">
        <v>0</v>
      </c>
      <c r="J109" s="48">
        <v>95810.9</v>
      </c>
      <c r="K109" s="48">
        <v>372983.8</v>
      </c>
      <c r="L109" s="48">
        <v>203906.5</v>
      </c>
      <c r="M109" s="48">
        <v>0</v>
      </c>
      <c r="N109" s="48">
        <v>203906.5</v>
      </c>
      <c r="O109" s="48">
        <v>0</v>
      </c>
      <c r="P109" s="48">
        <v>253856.4</v>
      </c>
      <c r="Q109" s="48">
        <v>0</v>
      </c>
      <c r="R109" s="48">
        <v>0</v>
      </c>
      <c r="S109" s="48">
        <v>0</v>
      </c>
      <c r="T109" s="48">
        <v>-49949.9</v>
      </c>
      <c r="U109" s="48">
        <f>(K109/V109)*1000</f>
        <v>3038.4655489841471</v>
      </c>
      <c r="V109" s="49">
        <v>122754</v>
      </c>
    </row>
    <row r="110" spans="1:22" s="12" customFormat="1">
      <c r="A110" s="45">
        <f t="shared" si="3"/>
        <v>106</v>
      </c>
      <c r="B110" s="50" t="s">
        <v>295</v>
      </c>
      <c r="C110" s="95">
        <v>143</v>
      </c>
      <c r="D110" s="74" t="s">
        <v>290</v>
      </c>
      <c r="E110" s="47">
        <v>69120.899999999994</v>
      </c>
      <c r="F110" s="47">
        <v>255406</v>
      </c>
      <c r="G110" s="47">
        <v>324526.90000000002</v>
      </c>
      <c r="H110" s="48">
        <v>71132.3</v>
      </c>
      <c r="I110" s="48">
        <v>0</v>
      </c>
      <c r="J110" s="48">
        <v>71132.3</v>
      </c>
      <c r="K110" s="48">
        <v>253394.6</v>
      </c>
      <c r="L110" s="48">
        <v>259327</v>
      </c>
      <c r="M110" s="48">
        <v>0</v>
      </c>
      <c r="N110" s="48">
        <v>259327</v>
      </c>
      <c r="O110" s="48">
        <v>0</v>
      </c>
      <c r="P110" s="48">
        <v>310775.3</v>
      </c>
      <c r="Q110" s="48">
        <v>0</v>
      </c>
      <c r="R110" s="48">
        <v>0</v>
      </c>
      <c r="S110" s="48">
        <v>0</v>
      </c>
      <c r="T110" s="48">
        <v>-51448.3</v>
      </c>
      <c r="U110" s="48">
        <f>(K110/V110)*1000</f>
        <v>95.578405006091643</v>
      </c>
      <c r="V110" s="49">
        <v>2651170</v>
      </c>
    </row>
    <row r="111" spans="1:22" s="12" customFormat="1">
      <c r="A111" s="45">
        <f t="shared" si="3"/>
        <v>107</v>
      </c>
      <c r="B111" s="46" t="s">
        <v>231</v>
      </c>
      <c r="C111" s="95">
        <v>464</v>
      </c>
      <c r="D111" s="74" t="s">
        <v>105</v>
      </c>
      <c r="E111" s="47">
        <v>3690077.2</v>
      </c>
      <c r="F111" s="47">
        <v>1589748.9</v>
      </c>
      <c r="G111" s="47">
        <v>5279826.0999999996</v>
      </c>
      <c r="H111" s="48">
        <v>2776105.9</v>
      </c>
      <c r="I111" s="48">
        <v>1047711.3</v>
      </c>
      <c r="J111" s="48">
        <v>3823817.2</v>
      </c>
      <c r="K111" s="48">
        <v>1456008.9</v>
      </c>
      <c r="L111" s="48">
        <v>2041132.1</v>
      </c>
      <c r="M111" s="48">
        <v>1131617.5</v>
      </c>
      <c r="N111" s="48">
        <v>909514.6</v>
      </c>
      <c r="O111" s="48">
        <v>56.1</v>
      </c>
      <c r="P111" s="48">
        <v>920271.6</v>
      </c>
      <c r="Q111" s="48">
        <v>-42998.5</v>
      </c>
      <c r="R111" s="48">
        <v>0</v>
      </c>
      <c r="S111" s="48">
        <v>2729.5</v>
      </c>
      <c r="T111" s="48">
        <v>-56428.9</v>
      </c>
      <c r="U111" s="48">
        <f>(K111/V111)*1000</f>
        <v>2097.1977518638441</v>
      </c>
      <c r="V111" s="49">
        <v>694264</v>
      </c>
    </row>
    <row r="112" spans="1:22" s="12" customFormat="1">
      <c r="A112" s="45">
        <f t="shared" si="3"/>
        <v>108</v>
      </c>
      <c r="B112" s="46" t="s">
        <v>232</v>
      </c>
      <c r="C112" s="95">
        <v>200</v>
      </c>
      <c r="D112" s="74" t="s">
        <v>26</v>
      </c>
      <c r="E112" s="47">
        <v>5268.2</v>
      </c>
      <c r="F112" s="47">
        <v>24189.3</v>
      </c>
      <c r="G112" s="47">
        <v>29457.5</v>
      </c>
      <c r="H112" s="48">
        <v>3350.6</v>
      </c>
      <c r="I112" s="48">
        <v>0</v>
      </c>
      <c r="J112" s="48">
        <v>3350.6</v>
      </c>
      <c r="K112" s="48">
        <v>26106.9</v>
      </c>
      <c r="L112" s="48">
        <v>0</v>
      </c>
      <c r="M112" s="48">
        <v>0</v>
      </c>
      <c r="N112" s="48">
        <v>0</v>
      </c>
      <c r="O112" s="48">
        <v>0</v>
      </c>
      <c r="P112" s="48">
        <v>57867.199999999997</v>
      </c>
      <c r="Q112" s="48">
        <v>0</v>
      </c>
      <c r="R112" s="48">
        <v>0</v>
      </c>
      <c r="S112" s="48">
        <v>0</v>
      </c>
      <c r="T112" s="48">
        <v>-57867.199999999997</v>
      </c>
      <c r="U112" s="48">
        <f>(K112/V112)*1000</f>
        <v>352.19150916670037</v>
      </c>
      <c r="V112" s="49">
        <v>74127</v>
      </c>
    </row>
    <row r="113" spans="1:22" s="12" customFormat="1">
      <c r="A113" s="45">
        <f t="shared" si="3"/>
        <v>109</v>
      </c>
      <c r="B113" s="46" t="s">
        <v>233</v>
      </c>
      <c r="C113" s="95">
        <v>2</v>
      </c>
      <c r="D113" s="74" t="s">
        <v>85</v>
      </c>
      <c r="E113" s="47">
        <v>242495.3</v>
      </c>
      <c r="F113" s="47">
        <v>1580200.4</v>
      </c>
      <c r="G113" s="47">
        <v>1822695.7</v>
      </c>
      <c r="H113" s="48">
        <v>412830.8</v>
      </c>
      <c r="I113" s="48">
        <v>0</v>
      </c>
      <c r="J113" s="48">
        <v>412830.8</v>
      </c>
      <c r="K113" s="48">
        <v>1409864.9</v>
      </c>
      <c r="L113" s="48">
        <v>0</v>
      </c>
      <c r="M113" s="48">
        <v>0</v>
      </c>
      <c r="N113" s="48">
        <v>0</v>
      </c>
      <c r="O113" s="48">
        <v>159626.4</v>
      </c>
      <c r="P113" s="48">
        <v>217827.7</v>
      </c>
      <c r="Q113" s="48">
        <v>0</v>
      </c>
      <c r="R113" s="48">
        <v>0</v>
      </c>
      <c r="S113" s="48">
        <v>0</v>
      </c>
      <c r="T113" s="48">
        <v>-58201.3</v>
      </c>
      <c r="U113" s="48">
        <f>(K113/V113)*1000</f>
        <v>569.56345039859127</v>
      </c>
      <c r="V113" s="49">
        <v>2475343</v>
      </c>
    </row>
    <row r="114" spans="1:22" s="12" customFormat="1">
      <c r="A114" s="51">
        <f t="shared" si="3"/>
        <v>110</v>
      </c>
      <c r="B114" s="46" t="s">
        <v>317</v>
      </c>
      <c r="C114" s="95">
        <v>308</v>
      </c>
      <c r="D114" s="74" t="s">
        <v>305</v>
      </c>
      <c r="E114" s="47">
        <v>4948497</v>
      </c>
      <c r="F114" s="47">
        <v>25168</v>
      </c>
      <c r="G114" s="47">
        <v>4973665</v>
      </c>
      <c r="H114" s="48">
        <v>388333.6</v>
      </c>
      <c r="I114" s="48">
        <v>0</v>
      </c>
      <c r="J114" s="48">
        <v>388333.6</v>
      </c>
      <c r="K114" s="48">
        <v>4585331.4000000004</v>
      </c>
      <c r="L114" s="48">
        <v>0</v>
      </c>
      <c r="M114" s="48">
        <v>0</v>
      </c>
      <c r="N114" s="48">
        <v>0</v>
      </c>
      <c r="O114" s="48">
        <v>120974</v>
      </c>
      <c r="P114" s="48">
        <v>236087</v>
      </c>
      <c r="Q114" s="48">
        <v>0</v>
      </c>
      <c r="R114" s="48">
        <v>62211</v>
      </c>
      <c r="S114" s="48">
        <v>10169</v>
      </c>
      <c r="T114" s="48">
        <v>-63071</v>
      </c>
      <c r="U114" s="48">
        <f>(K114/V114)*1000</f>
        <v>40502.167614740494</v>
      </c>
      <c r="V114" s="49">
        <v>113212</v>
      </c>
    </row>
    <row r="115" spans="1:22" s="12" customFormat="1">
      <c r="A115" s="51">
        <f t="shared" si="3"/>
        <v>111</v>
      </c>
      <c r="B115" s="46" t="s">
        <v>257</v>
      </c>
      <c r="C115" s="95">
        <v>269</v>
      </c>
      <c r="D115" s="74" t="s">
        <v>156</v>
      </c>
      <c r="E115" s="47">
        <v>10951637.1</v>
      </c>
      <c r="F115" s="47">
        <v>173066.9</v>
      </c>
      <c r="G115" s="47">
        <v>11124704</v>
      </c>
      <c r="H115" s="48">
        <v>5097279.0999999996</v>
      </c>
      <c r="I115" s="48">
        <v>10672599.800000001</v>
      </c>
      <c r="J115" s="48">
        <v>15769878.9</v>
      </c>
      <c r="K115" s="48">
        <v>-4645174.9000000004</v>
      </c>
      <c r="L115" s="48">
        <v>0</v>
      </c>
      <c r="M115" s="48">
        <v>0</v>
      </c>
      <c r="N115" s="48">
        <v>0</v>
      </c>
      <c r="O115" s="48">
        <v>0</v>
      </c>
      <c r="P115" s="48">
        <v>65980.100000000006</v>
      </c>
      <c r="Q115" s="48">
        <v>0</v>
      </c>
      <c r="R115" s="48">
        <v>0</v>
      </c>
      <c r="S115" s="48">
        <v>0</v>
      </c>
      <c r="T115" s="48">
        <v>-65980.100000000006</v>
      </c>
      <c r="U115" s="48">
        <f>(K115/V115)*1000</f>
        <v>-2853.6398356807658</v>
      </c>
      <c r="V115" s="49">
        <v>1627807</v>
      </c>
    </row>
    <row r="116" spans="1:22" s="12" customFormat="1">
      <c r="A116" s="51">
        <f t="shared" si="3"/>
        <v>112</v>
      </c>
      <c r="B116" s="46" t="s">
        <v>258</v>
      </c>
      <c r="C116" s="95">
        <v>385</v>
      </c>
      <c r="D116" s="74" t="s">
        <v>101</v>
      </c>
      <c r="E116" s="47">
        <v>285861</v>
      </c>
      <c r="F116" s="47">
        <v>3914900.4</v>
      </c>
      <c r="G116" s="47">
        <v>4200761.4000000004</v>
      </c>
      <c r="H116" s="48">
        <v>126884</v>
      </c>
      <c r="I116" s="48">
        <v>2847235.9</v>
      </c>
      <c r="J116" s="48">
        <v>2974119.9</v>
      </c>
      <c r="K116" s="48">
        <v>1226641.5</v>
      </c>
      <c r="L116" s="48">
        <v>0</v>
      </c>
      <c r="M116" s="48">
        <v>0</v>
      </c>
      <c r="N116" s="48">
        <v>0</v>
      </c>
      <c r="O116" s="48">
        <v>0</v>
      </c>
      <c r="P116" s="48">
        <v>71299.8</v>
      </c>
      <c r="Q116" s="48">
        <v>3513.6</v>
      </c>
      <c r="R116" s="48">
        <v>0</v>
      </c>
      <c r="S116" s="48">
        <v>0</v>
      </c>
      <c r="T116" s="48">
        <v>-67786.2</v>
      </c>
      <c r="U116" s="48">
        <f>(K116/V116)*1000</f>
        <v>89.302828123280037</v>
      </c>
      <c r="V116" s="49">
        <v>13735752</v>
      </c>
    </row>
    <row r="117" spans="1:22" s="12" customFormat="1">
      <c r="A117" s="51">
        <f t="shared" si="3"/>
        <v>113</v>
      </c>
      <c r="B117" s="46" t="s">
        <v>234</v>
      </c>
      <c r="C117" s="95">
        <v>56</v>
      </c>
      <c r="D117" s="74" t="s">
        <v>67</v>
      </c>
      <c r="E117" s="47">
        <v>316929.40000000002</v>
      </c>
      <c r="F117" s="47">
        <v>977670.7</v>
      </c>
      <c r="G117" s="47">
        <v>1294600.1000000001</v>
      </c>
      <c r="H117" s="48">
        <v>6518.3</v>
      </c>
      <c r="I117" s="48">
        <v>386578.2</v>
      </c>
      <c r="J117" s="48">
        <v>393096.5</v>
      </c>
      <c r="K117" s="48">
        <v>901503.6</v>
      </c>
      <c r="L117" s="48">
        <v>0</v>
      </c>
      <c r="M117" s="48">
        <v>0</v>
      </c>
      <c r="N117" s="48">
        <v>0</v>
      </c>
      <c r="O117" s="48">
        <v>226751.7</v>
      </c>
      <c r="P117" s="48">
        <v>350911.4</v>
      </c>
      <c r="Q117" s="48">
        <v>0</v>
      </c>
      <c r="R117" s="48">
        <v>0</v>
      </c>
      <c r="S117" s="48">
        <v>0</v>
      </c>
      <c r="T117" s="48">
        <v>-124159.7</v>
      </c>
      <c r="U117" s="48">
        <f>(K117/V117)*1000</f>
        <v>3047.7516371246106</v>
      </c>
      <c r="V117" s="49">
        <v>295793</v>
      </c>
    </row>
    <row r="118" spans="1:22" s="12" customFormat="1">
      <c r="A118" s="51">
        <f t="shared" si="3"/>
        <v>114</v>
      </c>
      <c r="B118" s="46" t="s">
        <v>235</v>
      </c>
      <c r="C118" s="95">
        <v>252</v>
      </c>
      <c r="D118" s="74" t="s">
        <v>42</v>
      </c>
      <c r="E118" s="47">
        <v>4297309.7</v>
      </c>
      <c r="F118" s="47">
        <v>39280234.899999999</v>
      </c>
      <c r="G118" s="47">
        <v>43577544.600000001</v>
      </c>
      <c r="H118" s="48">
        <v>4942185.4000000004</v>
      </c>
      <c r="I118" s="48">
        <v>4028000</v>
      </c>
      <c r="J118" s="48">
        <v>8970185.4000000004</v>
      </c>
      <c r="K118" s="48">
        <v>34607359.200000003</v>
      </c>
      <c r="L118" s="48">
        <v>98080.9</v>
      </c>
      <c r="M118" s="48">
        <v>156624.70000000001</v>
      </c>
      <c r="N118" s="48">
        <v>-58543.8</v>
      </c>
      <c r="O118" s="48">
        <v>0</v>
      </c>
      <c r="P118" s="48">
        <v>116644</v>
      </c>
      <c r="Q118" s="48">
        <v>0</v>
      </c>
      <c r="R118" s="48">
        <v>0</v>
      </c>
      <c r="S118" s="48">
        <v>0</v>
      </c>
      <c r="T118" s="48">
        <v>-175187.8</v>
      </c>
      <c r="U118" s="48">
        <f>(K118/V118)*1000</f>
        <v>56308.477504991031</v>
      </c>
      <c r="V118" s="49">
        <v>614603</v>
      </c>
    </row>
    <row r="119" spans="1:22" s="12" customFormat="1">
      <c r="A119" s="51">
        <f t="shared" si="3"/>
        <v>115</v>
      </c>
      <c r="B119" s="48" t="s">
        <v>283</v>
      </c>
      <c r="C119" s="95">
        <v>461</v>
      </c>
      <c r="D119" s="60" t="s">
        <v>281</v>
      </c>
      <c r="E119" s="48">
        <v>3318975.3</v>
      </c>
      <c r="F119" s="48">
        <v>3772198.5</v>
      </c>
      <c r="G119" s="48">
        <v>7091173.7999999998</v>
      </c>
      <c r="H119" s="48">
        <v>768411.5</v>
      </c>
      <c r="I119" s="48">
        <v>0</v>
      </c>
      <c r="J119" s="48">
        <v>768411.5</v>
      </c>
      <c r="K119" s="48">
        <v>6322762.2999999998</v>
      </c>
      <c r="L119" s="48">
        <v>6133396.0999999996</v>
      </c>
      <c r="M119" s="48">
        <v>5083860.5999999996</v>
      </c>
      <c r="N119" s="48">
        <v>1049535.5</v>
      </c>
      <c r="O119" s="48">
        <v>135085.79999999999</v>
      </c>
      <c r="P119" s="48">
        <v>1360976.6</v>
      </c>
      <c r="Q119" s="48">
        <v>-310.89999999999998</v>
      </c>
      <c r="R119" s="48">
        <v>0</v>
      </c>
      <c r="S119" s="48">
        <v>0</v>
      </c>
      <c r="T119" s="48">
        <v>-176666.2</v>
      </c>
      <c r="U119" s="48">
        <f>(K119/V119)*1000</f>
        <v>2006.3955429244529</v>
      </c>
      <c r="V119" s="49">
        <v>3151304</v>
      </c>
    </row>
    <row r="120" spans="1:22" s="12" customFormat="1">
      <c r="A120" s="51">
        <f t="shared" si="3"/>
        <v>116</v>
      </c>
      <c r="B120" s="50" t="s">
        <v>314</v>
      </c>
      <c r="C120" s="95">
        <v>175</v>
      </c>
      <c r="D120" s="74" t="s">
        <v>302</v>
      </c>
      <c r="E120" s="47">
        <v>281772.3</v>
      </c>
      <c r="F120" s="47">
        <v>4604333.2</v>
      </c>
      <c r="G120" s="47">
        <v>4886105.5</v>
      </c>
      <c r="H120" s="48">
        <v>1039864.4</v>
      </c>
      <c r="I120" s="48">
        <v>0</v>
      </c>
      <c r="J120" s="48">
        <v>1039864.4</v>
      </c>
      <c r="K120" s="48">
        <v>3846241.1</v>
      </c>
      <c r="L120" s="48">
        <v>72727.3</v>
      </c>
      <c r="M120" s="48">
        <v>0</v>
      </c>
      <c r="N120" s="48">
        <v>72727.3</v>
      </c>
      <c r="O120" s="48">
        <v>0</v>
      </c>
      <c r="P120" s="48">
        <v>250265.8</v>
      </c>
      <c r="Q120" s="48">
        <v>0</v>
      </c>
      <c r="R120" s="48">
        <v>0</v>
      </c>
      <c r="S120" s="48">
        <v>0</v>
      </c>
      <c r="T120" s="48">
        <v>-177538.5</v>
      </c>
      <c r="U120" s="48">
        <f>(K120/V120)*1000</f>
        <v>106264.43155131924</v>
      </c>
      <c r="V120" s="49">
        <v>36195</v>
      </c>
    </row>
    <row r="121" spans="1:22" s="12" customFormat="1">
      <c r="A121" s="51">
        <f t="shared" si="3"/>
        <v>117</v>
      </c>
      <c r="B121" s="46" t="s">
        <v>343</v>
      </c>
      <c r="C121" s="19">
        <v>452</v>
      </c>
      <c r="D121" s="143" t="s">
        <v>337</v>
      </c>
      <c r="E121" s="47">
        <v>557978.5</v>
      </c>
      <c r="F121" s="47">
        <v>1656554.9</v>
      </c>
      <c r="G121" s="47">
        <v>2214533.4</v>
      </c>
      <c r="H121" s="47">
        <v>255902.4</v>
      </c>
      <c r="I121" s="47">
        <v>5448909.7999999998</v>
      </c>
      <c r="J121" s="47">
        <v>5704812.2000000002</v>
      </c>
      <c r="K121" s="47">
        <v>-3490278.8</v>
      </c>
      <c r="L121" s="47">
        <v>192153.4</v>
      </c>
      <c r="M121" s="47">
        <v>0</v>
      </c>
      <c r="N121" s="47">
        <v>192153.4</v>
      </c>
      <c r="O121" s="46">
        <v>0</v>
      </c>
      <c r="P121" s="46">
        <v>371742.1</v>
      </c>
      <c r="Q121" s="46">
        <v>0</v>
      </c>
      <c r="R121" s="47">
        <v>0</v>
      </c>
      <c r="S121" s="47">
        <v>0</v>
      </c>
      <c r="T121" s="47">
        <v>-179588.7</v>
      </c>
      <c r="U121" s="48">
        <f>(K121/V121)*1000</f>
        <v>-1508.8014891416037</v>
      </c>
      <c r="V121" s="49">
        <v>2313279</v>
      </c>
    </row>
    <row r="122" spans="1:22" s="12" customFormat="1">
      <c r="A122" s="51">
        <f t="shared" si="3"/>
        <v>118</v>
      </c>
      <c r="B122" s="46" t="s">
        <v>236</v>
      </c>
      <c r="C122" s="95">
        <v>179</v>
      </c>
      <c r="D122" s="74" t="s">
        <v>62</v>
      </c>
      <c r="E122" s="47">
        <v>5889810</v>
      </c>
      <c r="F122" s="47">
        <v>2766248.4</v>
      </c>
      <c r="G122" s="47">
        <v>8656058.4000000004</v>
      </c>
      <c r="H122" s="48">
        <v>9892479</v>
      </c>
      <c r="I122" s="48">
        <v>0</v>
      </c>
      <c r="J122" s="48">
        <v>9892479</v>
      </c>
      <c r="K122" s="48">
        <v>-1236420.6000000001</v>
      </c>
      <c r="L122" s="48">
        <v>317026.5</v>
      </c>
      <c r="M122" s="48">
        <v>316032.2</v>
      </c>
      <c r="N122" s="48">
        <v>994.3</v>
      </c>
      <c r="O122" s="48">
        <v>83395.199999999997</v>
      </c>
      <c r="P122" s="48">
        <v>283351.5</v>
      </c>
      <c r="Q122" s="48">
        <v>0</v>
      </c>
      <c r="R122" s="48">
        <v>0</v>
      </c>
      <c r="S122" s="48">
        <v>0</v>
      </c>
      <c r="T122" s="48">
        <v>-198962</v>
      </c>
      <c r="U122" s="48">
        <f>(K122/V122)*1000</f>
        <v>-2291.7260873191663</v>
      </c>
      <c r="V122" s="49">
        <v>539515</v>
      </c>
    </row>
    <row r="123" spans="1:22" s="12" customFormat="1">
      <c r="A123" s="51">
        <f t="shared" si="3"/>
        <v>119</v>
      </c>
      <c r="B123" s="46" t="s">
        <v>237</v>
      </c>
      <c r="C123" s="95">
        <v>142</v>
      </c>
      <c r="D123" s="74" t="s">
        <v>110</v>
      </c>
      <c r="E123" s="47">
        <v>96944.8</v>
      </c>
      <c r="F123" s="47">
        <v>75029.399999999994</v>
      </c>
      <c r="G123" s="47">
        <v>171974.2</v>
      </c>
      <c r="H123" s="48">
        <v>1807507.8</v>
      </c>
      <c r="I123" s="48">
        <v>26339.200000000001</v>
      </c>
      <c r="J123" s="48">
        <v>1833847</v>
      </c>
      <c r="K123" s="48">
        <v>-1661872.8</v>
      </c>
      <c r="L123" s="48">
        <v>0</v>
      </c>
      <c r="M123" s="48">
        <v>0</v>
      </c>
      <c r="N123" s="48">
        <v>0</v>
      </c>
      <c r="O123" s="48">
        <v>0</v>
      </c>
      <c r="P123" s="48">
        <v>303955.3</v>
      </c>
      <c r="Q123" s="48">
        <v>0</v>
      </c>
      <c r="R123" s="48">
        <v>0</v>
      </c>
      <c r="S123" s="48">
        <v>0</v>
      </c>
      <c r="T123" s="48">
        <v>-303955.3</v>
      </c>
      <c r="U123" s="48">
        <f>(K123/V123)*1000</f>
        <v>-22361.645900051135</v>
      </c>
      <c r="V123" s="49">
        <v>74318</v>
      </c>
    </row>
    <row r="124" spans="1:22" s="12" customFormat="1">
      <c r="A124" s="51">
        <f t="shared" si="3"/>
        <v>120</v>
      </c>
      <c r="B124" s="46" t="s">
        <v>238</v>
      </c>
      <c r="C124" s="95">
        <v>506</v>
      </c>
      <c r="D124" s="74" t="s">
        <v>57</v>
      </c>
      <c r="E124" s="47">
        <v>20450487.699999999</v>
      </c>
      <c r="F124" s="47">
        <v>61280499.100000001</v>
      </c>
      <c r="G124" s="47">
        <v>81730986.799999997</v>
      </c>
      <c r="H124" s="48">
        <v>14482498.699999999</v>
      </c>
      <c r="I124" s="48">
        <v>6364370.5</v>
      </c>
      <c r="J124" s="48">
        <v>20846869.199999999</v>
      </c>
      <c r="K124" s="48">
        <v>60884117.600000001</v>
      </c>
      <c r="L124" s="48">
        <v>23920693.899999999</v>
      </c>
      <c r="M124" s="48">
        <v>14819055.800000001</v>
      </c>
      <c r="N124" s="48">
        <v>9101638.0999999996</v>
      </c>
      <c r="O124" s="48">
        <v>214648.2</v>
      </c>
      <c r="P124" s="48">
        <v>10014633.699999999</v>
      </c>
      <c r="Q124" s="48">
        <v>0</v>
      </c>
      <c r="R124" s="48">
        <v>393935.1</v>
      </c>
      <c r="S124" s="48">
        <v>0</v>
      </c>
      <c r="T124" s="48">
        <v>-304412.3</v>
      </c>
      <c r="U124" s="48">
        <f>(K124/V124)*1000</f>
        <v>5063.1190196575108</v>
      </c>
      <c r="V124" s="49">
        <v>12025022</v>
      </c>
    </row>
    <row r="125" spans="1:22" s="12" customFormat="1">
      <c r="A125" s="51">
        <f t="shared" si="3"/>
        <v>121</v>
      </c>
      <c r="B125" s="46" t="s">
        <v>239</v>
      </c>
      <c r="C125" s="95">
        <v>239</v>
      </c>
      <c r="D125" s="74" t="s">
        <v>40</v>
      </c>
      <c r="E125" s="47">
        <v>2738572.7</v>
      </c>
      <c r="F125" s="47">
        <v>267987.7</v>
      </c>
      <c r="G125" s="47">
        <v>3006560.4</v>
      </c>
      <c r="H125" s="48">
        <v>1368009.4</v>
      </c>
      <c r="I125" s="48">
        <v>2427212.6</v>
      </c>
      <c r="J125" s="48">
        <v>3795222</v>
      </c>
      <c r="K125" s="48">
        <v>-788661.6</v>
      </c>
      <c r="L125" s="48">
        <v>717202</v>
      </c>
      <c r="M125" s="48">
        <v>227241.9</v>
      </c>
      <c r="N125" s="48">
        <v>489960.1</v>
      </c>
      <c r="O125" s="48">
        <v>0</v>
      </c>
      <c r="P125" s="48">
        <v>829509.7</v>
      </c>
      <c r="Q125" s="48">
        <v>18.5</v>
      </c>
      <c r="R125" s="48">
        <v>0</v>
      </c>
      <c r="S125" s="48">
        <v>0</v>
      </c>
      <c r="T125" s="48">
        <v>-339531.1</v>
      </c>
      <c r="U125" s="48">
        <f>(K125/V125)*1000</f>
        <v>-4125.2306726645047</v>
      </c>
      <c r="V125" s="49">
        <v>191180</v>
      </c>
    </row>
    <row r="126" spans="1:22" s="12" customFormat="1">
      <c r="A126" s="51">
        <f t="shared" si="3"/>
        <v>122</v>
      </c>
      <c r="B126" s="46" t="s">
        <v>240</v>
      </c>
      <c r="C126" s="95">
        <v>521</v>
      </c>
      <c r="D126" s="74" t="s">
        <v>73</v>
      </c>
      <c r="E126" s="47">
        <v>1356457.2</v>
      </c>
      <c r="F126" s="47">
        <v>8215982.4000000004</v>
      </c>
      <c r="G126" s="47">
        <v>9572439.5999999996</v>
      </c>
      <c r="H126" s="48">
        <v>1601812.5</v>
      </c>
      <c r="I126" s="48">
        <v>0</v>
      </c>
      <c r="J126" s="48">
        <v>1601812.5</v>
      </c>
      <c r="K126" s="48">
        <v>7970627.0999999996</v>
      </c>
      <c r="L126" s="48">
        <v>1996622</v>
      </c>
      <c r="M126" s="48">
        <v>1932062.9</v>
      </c>
      <c r="N126" s="48">
        <v>64559.1</v>
      </c>
      <c r="O126" s="48">
        <v>1420</v>
      </c>
      <c r="P126" s="48">
        <v>411191.1</v>
      </c>
      <c r="Q126" s="48">
        <v>4393.6000000000004</v>
      </c>
      <c r="R126" s="48">
        <v>0</v>
      </c>
      <c r="S126" s="48">
        <v>0</v>
      </c>
      <c r="T126" s="48">
        <v>-340818.4</v>
      </c>
      <c r="U126" s="48">
        <f>(K126/V126)*1000</f>
        <v>79.706271000000001</v>
      </c>
      <c r="V126" s="49">
        <v>100000000</v>
      </c>
    </row>
    <row r="127" spans="1:22" s="12" customFormat="1">
      <c r="A127" s="51">
        <f t="shared" si="3"/>
        <v>123</v>
      </c>
      <c r="B127" s="50" t="s">
        <v>271</v>
      </c>
      <c r="C127" s="95">
        <v>524</v>
      </c>
      <c r="D127" s="74" t="s">
        <v>260</v>
      </c>
      <c r="E127" s="48">
        <v>5452064.5999999996</v>
      </c>
      <c r="F127" s="48">
        <v>3108571.5</v>
      </c>
      <c r="G127" s="48">
        <v>8560636.0999999996</v>
      </c>
      <c r="H127" s="48">
        <v>1277.2</v>
      </c>
      <c r="I127" s="48">
        <v>0</v>
      </c>
      <c r="J127" s="48">
        <v>1277.2</v>
      </c>
      <c r="K127" s="48">
        <v>8559358.9000000004</v>
      </c>
      <c r="L127" s="48">
        <v>1667</v>
      </c>
      <c r="M127" s="48">
        <v>0</v>
      </c>
      <c r="N127" s="48">
        <v>1667</v>
      </c>
      <c r="O127" s="48">
        <v>0</v>
      </c>
      <c r="P127" s="48">
        <v>406964.8</v>
      </c>
      <c r="Q127" s="48">
        <v>30972</v>
      </c>
      <c r="R127" s="48">
        <v>0</v>
      </c>
      <c r="S127" s="48">
        <v>0</v>
      </c>
      <c r="T127" s="48">
        <v>-374325.8</v>
      </c>
      <c r="U127" s="48">
        <f>(K127/V127)*1000</f>
        <v>622.49882909090911</v>
      </c>
      <c r="V127" s="49">
        <v>13750000</v>
      </c>
    </row>
    <row r="128" spans="1:22" s="12" customFormat="1">
      <c r="A128" s="51">
        <f t="shared" si="3"/>
        <v>124</v>
      </c>
      <c r="B128" s="46" t="s">
        <v>275</v>
      </c>
      <c r="C128" s="95">
        <v>532</v>
      </c>
      <c r="D128" s="74" t="s">
        <v>264</v>
      </c>
      <c r="E128" s="48">
        <v>3293624.6</v>
      </c>
      <c r="F128" s="48">
        <v>28088028.100000001</v>
      </c>
      <c r="G128" s="48">
        <v>31381652.699999999</v>
      </c>
      <c r="H128" s="48">
        <v>15053336.300000001</v>
      </c>
      <c r="I128" s="48">
        <v>0</v>
      </c>
      <c r="J128" s="48">
        <v>15053336.300000001</v>
      </c>
      <c r="K128" s="48">
        <v>16328316.4</v>
      </c>
      <c r="L128" s="48">
        <v>17727.3</v>
      </c>
      <c r="M128" s="48">
        <v>14637.1</v>
      </c>
      <c r="N128" s="48">
        <v>3090.2</v>
      </c>
      <c r="O128" s="48">
        <v>0</v>
      </c>
      <c r="P128" s="48">
        <v>40379.199999999997</v>
      </c>
      <c r="Q128" s="48">
        <v>-281473.59999999998</v>
      </c>
      <c r="R128" s="48">
        <v>-87639.9</v>
      </c>
      <c r="S128" s="48">
        <v>0</v>
      </c>
      <c r="T128" s="48">
        <v>-406402.5</v>
      </c>
      <c r="U128" s="48">
        <f>(K128/V128)*1000</f>
        <v>161.15979188088795</v>
      </c>
      <c r="V128" s="49">
        <v>101317557</v>
      </c>
    </row>
    <row r="129" spans="1:22" s="12" customFormat="1">
      <c r="A129" s="51">
        <f t="shared" si="3"/>
        <v>125</v>
      </c>
      <c r="B129" s="46" t="s">
        <v>241</v>
      </c>
      <c r="C129" s="95">
        <v>201</v>
      </c>
      <c r="D129" s="74" t="s">
        <v>91</v>
      </c>
      <c r="E129" s="47">
        <v>6675846.5999999996</v>
      </c>
      <c r="F129" s="47">
        <v>5402456.7000000002</v>
      </c>
      <c r="G129" s="47">
        <v>12078303.300000001</v>
      </c>
      <c r="H129" s="48">
        <v>3221496.9</v>
      </c>
      <c r="I129" s="48">
        <v>10207219.6</v>
      </c>
      <c r="J129" s="48">
        <v>13428716.5</v>
      </c>
      <c r="K129" s="48">
        <v>-1350413.2</v>
      </c>
      <c r="L129" s="48">
        <v>0</v>
      </c>
      <c r="M129" s="48">
        <v>0</v>
      </c>
      <c r="N129" s="48">
        <v>0</v>
      </c>
      <c r="O129" s="48">
        <v>0</v>
      </c>
      <c r="P129" s="48">
        <v>536266.6</v>
      </c>
      <c r="Q129" s="48">
        <v>2000</v>
      </c>
      <c r="R129" s="48">
        <v>0</v>
      </c>
      <c r="S129" s="48">
        <v>0</v>
      </c>
      <c r="T129" s="48">
        <v>-534266.6</v>
      </c>
      <c r="U129" s="48">
        <f>(K129/V129)*1000</f>
        <v>-25941.547564161669</v>
      </c>
      <c r="V129" s="49">
        <v>52056</v>
      </c>
    </row>
    <row r="130" spans="1:22" s="12" customFormat="1">
      <c r="A130" s="51">
        <f t="shared" si="3"/>
        <v>126</v>
      </c>
      <c r="B130" s="46" t="s">
        <v>242</v>
      </c>
      <c r="C130" s="95">
        <v>408</v>
      </c>
      <c r="D130" s="74" t="s">
        <v>109</v>
      </c>
      <c r="E130" s="47">
        <v>2491905.2999999998</v>
      </c>
      <c r="F130" s="47">
        <v>15837157.300000001</v>
      </c>
      <c r="G130" s="47">
        <v>18329062.600000001</v>
      </c>
      <c r="H130" s="48">
        <v>2012060.8</v>
      </c>
      <c r="I130" s="48">
        <v>2831774.3</v>
      </c>
      <c r="J130" s="48">
        <v>4843835.0999999996</v>
      </c>
      <c r="K130" s="48">
        <v>13485227.5</v>
      </c>
      <c r="L130" s="48">
        <v>43974.5</v>
      </c>
      <c r="M130" s="48">
        <v>0</v>
      </c>
      <c r="N130" s="48">
        <v>43974.5</v>
      </c>
      <c r="O130" s="48">
        <v>2.7</v>
      </c>
      <c r="P130" s="48">
        <v>903016.2</v>
      </c>
      <c r="Q130" s="48">
        <v>125468.7</v>
      </c>
      <c r="R130" s="48">
        <v>0</v>
      </c>
      <c r="S130" s="48">
        <v>0</v>
      </c>
      <c r="T130" s="48">
        <v>-733570.3</v>
      </c>
      <c r="U130" s="48">
        <f>(K130/V130)*1000</f>
        <v>230347.39422304972</v>
      </c>
      <c r="V130" s="49">
        <v>58543</v>
      </c>
    </row>
    <row r="131" spans="1:22" s="12" customFormat="1">
      <c r="A131" s="51">
        <f t="shared" si="3"/>
        <v>127</v>
      </c>
      <c r="B131" s="46" t="s">
        <v>243</v>
      </c>
      <c r="C131" s="95">
        <v>498</v>
      </c>
      <c r="D131" s="74" t="s">
        <v>46</v>
      </c>
      <c r="E131" s="47">
        <v>1458445</v>
      </c>
      <c r="F131" s="47">
        <v>25613312.800000001</v>
      </c>
      <c r="G131" s="47">
        <v>27071757.800000001</v>
      </c>
      <c r="H131" s="48">
        <v>666985.6</v>
      </c>
      <c r="I131" s="48">
        <v>0</v>
      </c>
      <c r="J131" s="48">
        <v>666985.6</v>
      </c>
      <c r="K131" s="48">
        <v>26404772.199999999</v>
      </c>
      <c r="L131" s="48">
        <v>11049218.5</v>
      </c>
      <c r="M131" s="48">
        <v>7148836.0999999996</v>
      </c>
      <c r="N131" s="48">
        <v>3900382.4</v>
      </c>
      <c r="O131" s="48">
        <v>589757.80000000005</v>
      </c>
      <c r="P131" s="48">
        <v>5438377.2999999998</v>
      </c>
      <c r="Q131" s="48">
        <v>0</v>
      </c>
      <c r="R131" s="48">
        <v>-91146.1</v>
      </c>
      <c r="S131" s="48">
        <v>0</v>
      </c>
      <c r="T131" s="48">
        <v>-1039383.2</v>
      </c>
      <c r="U131" s="48">
        <f>(K131/V131)*1000</f>
        <v>275.07250418511239</v>
      </c>
      <c r="V131" s="49">
        <v>95992045</v>
      </c>
    </row>
    <row r="132" spans="1:22" s="12" customFormat="1">
      <c r="A132" s="51">
        <f t="shared" si="3"/>
        <v>128</v>
      </c>
      <c r="B132" s="46" t="s">
        <v>344</v>
      </c>
      <c r="C132" s="19">
        <v>502</v>
      </c>
      <c r="D132" s="143" t="s">
        <v>338</v>
      </c>
      <c r="E132" s="47">
        <v>3396561.4</v>
      </c>
      <c r="F132" s="47">
        <v>45684944.200000003</v>
      </c>
      <c r="G132" s="47">
        <v>49081505.600000001</v>
      </c>
      <c r="H132" s="47">
        <v>910669.6</v>
      </c>
      <c r="I132" s="47">
        <v>397507.7</v>
      </c>
      <c r="J132" s="47">
        <v>1308177.3</v>
      </c>
      <c r="K132" s="47">
        <v>47773328.299999997</v>
      </c>
      <c r="L132" s="47">
        <v>26045348.100000001</v>
      </c>
      <c r="M132" s="47">
        <v>26182133.699999999</v>
      </c>
      <c r="N132" s="47">
        <v>-136785.60000000001</v>
      </c>
      <c r="O132" s="46">
        <v>338485.5</v>
      </c>
      <c r="P132" s="46">
        <v>2186501.1</v>
      </c>
      <c r="Q132" s="46">
        <v>559.29999999999995</v>
      </c>
      <c r="R132" s="47">
        <v>0</v>
      </c>
      <c r="S132" s="47">
        <v>3824</v>
      </c>
      <c r="T132" s="47">
        <v>-1988065.9</v>
      </c>
      <c r="U132" s="48">
        <f>(K132/V132)*1000</f>
        <v>655.74261623761993</v>
      </c>
      <c r="V132" s="49">
        <v>72853780</v>
      </c>
    </row>
    <row r="133" spans="1:22" s="12" customFormat="1">
      <c r="A133" s="51">
        <f t="shared" si="3"/>
        <v>129</v>
      </c>
      <c r="B133" s="46" t="s">
        <v>244</v>
      </c>
      <c r="C133" s="95">
        <v>505</v>
      </c>
      <c r="D133" s="74" t="s">
        <v>49</v>
      </c>
      <c r="E133" s="47">
        <v>1053035.2</v>
      </c>
      <c r="F133" s="47">
        <v>32720808.5</v>
      </c>
      <c r="G133" s="47">
        <v>33773843.700000003</v>
      </c>
      <c r="H133" s="48">
        <v>780157.1</v>
      </c>
      <c r="I133" s="48">
        <v>118631.5</v>
      </c>
      <c r="J133" s="48">
        <v>898788.6</v>
      </c>
      <c r="K133" s="48">
        <v>32875055.100000001</v>
      </c>
      <c r="L133" s="48">
        <v>7100782.7999999998</v>
      </c>
      <c r="M133" s="48">
        <v>7279314.2999999998</v>
      </c>
      <c r="N133" s="48">
        <v>-178531.5</v>
      </c>
      <c r="O133" s="48">
        <v>305468.3</v>
      </c>
      <c r="P133" s="48">
        <v>2337485.2000000002</v>
      </c>
      <c r="Q133" s="48">
        <v>14293.3</v>
      </c>
      <c r="R133" s="48">
        <v>0</v>
      </c>
      <c r="S133" s="48">
        <v>0</v>
      </c>
      <c r="T133" s="48">
        <v>-2196255.1</v>
      </c>
      <c r="U133" s="48">
        <f>(K133/V133)*1000</f>
        <v>971.36124845077381</v>
      </c>
      <c r="V133" s="49">
        <v>33844314</v>
      </c>
    </row>
    <row r="134" spans="1:22" s="12" customFormat="1">
      <c r="A134" s="51">
        <f t="shared" si="3"/>
        <v>130</v>
      </c>
      <c r="B134" s="50" t="s">
        <v>294</v>
      </c>
      <c r="C134" s="95">
        <v>513</v>
      </c>
      <c r="D134" s="74" t="s">
        <v>286</v>
      </c>
      <c r="E134" s="47">
        <v>2608681.7000000002</v>
      </c>
      <c r="F134" s="47">
        <v>11367185.800000001</v>
      </c>
      <c r="G134" s="47">
        <v>13975867.5</v>
      </c>
      <c r="H134" s="48">
        <v>14277899.300000001</v>
      </c>
      <c r="I134" s="48">
        <v>3408072.7</v>
      </c>
      <c r="J134" s="48">
        <v>17685972</v>
      </c>
      <c r="K134" s="48">
        <v>-3710104.5</v>
      </c>
      <c r="L134" s="48">
        <v>4076588.4</v>
      </c>
      <c r="M134" s="48">
        <v>6795559.5</v>
      </c>
      <c r="N134" s="48">
        <v>-2718971.1</v>
      </c>
      <c r="O134" s="48">
        <v>2552018.4</v>
      </c>
      <c r="P134" s="48">
        <v>2061822.4</v>
      </c>
      <c r="Q134" s="48">
        <v>538.6</v>
      </c>
      <c r="R134" s="48">
        <v>0</v>
      </c>
      <c r="S134" s="48">
        <v>0</v>
      </c>
      <c r="T134" s="48">
        <v>-2228236.5</v>
      </c>
      <c r="U134" s="48">
        <f>(K134/V134)*1000</f>
        <v>-48.641160275319571</v>
      </c>
      <c r="V134" s="49">
        <v>76275000</v>
      </c>
    </row>
    <row r="135" spans="1:22" s="12" customFormat="1">
      <c r="A135" s="51">
        <f t="shared" ref="A135:A148" si="4">+A134+1</f>
        <v>131</v>
      </c>
      <c r="B135" s="46" t="s">
        <v>245</v>
      </c>
      <c r="C135" s="95">
        <v>38</v>
      </c>
      <c r="D135" s="74" t="s">
        <v>88</v>
      </c>
      <c r="E135" s="47">
        <v>12989285.699999999</v>
      </c>
      <c r="F135" s="47">
        <v>19372522.100000001</v>
      </c>
      <c r="G135" s="47">
        <v>32361807.800000001</v>
      </c>
      <c r="H135" s="48">
        <v>16959341.600000001</v>
      </c>
      <c r="I135" s="48">
        <v>3674921.4</v>
      </c>
      <c r="J135" s="48">
        <v>20634263</v>
      </c>
      <c r="K135" s="48">
        <v>11727544.800000001</v>
      </c>
      <c r="L135" s="48">
        <v>8537653.5</v>
      </c>
      <c r="M135" s="48">
        <v>6642335.7999999998</v>
      </c>
      <c r="N135" s="48">
        <v>1895317.7</v>
      </c>
      <c r="O135" s="48">
        <v>8055.2</v>
      </c>
      <c r="P135" s="48">
        <v>4269856.3</v>
      </c>
      <c r="Q135" s="48">
        <v>47436.3</v>
      </c>
      <c r="R135" s="48">
        <v>0</v>
      </c>
      <c r="S135" s="48">
        <v>42949.1</v>
      </c>
      <c r="T135" s="48">
        <v>-2361996.2000000002</v>
      </c>
      <c r="U135" s="48">
        <f>(K135/V135)*1000</f>
        <v>29303.331234445748</v>
      </c>
      <c r="V135" s="49">
        <v>400212</v>
      </c>
    </row>
    <row r="136" spans="1:22" s="12" customFormat="1">
      <c r="A136" s="51">
        <f t="shared" si="4"/>
        <v>132</v>
      </c>
      <c r="B136" s="46" t="s">
        <v>246</v>
      </c>
      <c r="C136" s="95">
        <v>515</v>
      </c>
      <c r="D136" s="74" t="s">
        <v>114</v>
      </c>
      <c r="E136" s="47">
        <v>71045908.200000003</v>
      </c>
      <c r="F136" s="47">
        <v>327956736.89999998</v>
      </c>
      <c r="G136" s="47">
        <v>399002645.10000002</v>
      </c>
      <c r="H136" s="48">
        <v>51780357.399999999</v>
      </c>
      <c r="I136" s="48">
        <v>58999507.399999999</v>
      </c>
      <c r="J136" s="48">
        <v>110779864.8</v>
      </c>
      <c r="K136" s="48">
        <v>288222780.30000001</v>
      </c>
      <c r="L136" s="48">
        <v>608764748.89999998</v>
      </c>
      <c r="M136" s="48">
        <v>573377774.60000002</v>
      </c>
      <c r="N136" s="48">
        <v>35386974.299999997</v>
      </c>
      <c r="O136" s="48">
        <v>15064544.199999999</v>
      </c>
      <c r="P136" s="48">
        <v>52907903.399999999</v>
      </c>
      <c r="Q136" s="48">
        <v>6559.1</v>
      </c>
      <c r="R136" s="48">
        <v>0</v>
      </c>
      <c r="S136" s="48">
        <v>81994</v>
      </c>
      <c r="T136" s="48">
        <v>-2531819.7999999998</v>
      </c>
      <c r="U136" s="48">
        <f>(K136/V136)*1000</f>
        <v>6986.7107919424043</v>
      </c>
      <c r="V136" s="49">
        <v>41253000</v>
      </c>
    </row>
    <row r="137" spans="1:22" s="12" customFormat="1">
      <c r="A137" s="51">
        <f t="shared" si="4"/>
        <v>133</v>
      </c>
      <c r="B137" s="46" t="s">
        <v>247</v>
      </c>
      <c r="C137" s="95">
        <v>499</v>
      </c>
      <c r="D137" s="74" t="s">
        <v>55</v>
      </c>
      <c r="E137" s="47">
        <v>8738930.9000000004</v>
      </c>
      <c r="F137" s="47">
        <v>88417836.900000006</v>
      </c>
      <c r="G137" s="47">
        <v>97156767.799999997</v>
      </c>
      <c r="H137" s="48">
        <v>12264269.9</v>
      </c>
      <c r="I137" s="48">
        <v>1397443.9</v>
      </c>
      <c r="J137" s="48">
        <v>13661713.800000001</v>
      </c>
      <c r="K137" s="48">
        <v>83495054</v>
      </c>
      <c r="L137" s="48">
        <v>61343644.100000001</v>
      </c>
      <c r="M137" s="48">
        <v>60512421.100000001</v>
      </c>
      <c r="N137" s="48">
        <v>831223</v>
      </c>
      <c r="O137" s="48">
        <v>1516611.1</v>
      </c>
      <c r="P137" s="48">
        <v>5679818.2000000002</v>
      </c>
      <c r="Q137" s="48">
        <v>0</v>
      </c>
      <c r="R137" s="48">
        <v>0</v>
      </c>
      <c r="S137" s="48">
        <v>329642</v>
      </c>
      <c r="T137" s="48">
        <v>-3661626.1</v>
      </c>
      <c r="U137" s="48">
        <f>(K137/V137)*1000</f>
        <v>429.3366237447388</v>
      </c>
      <c r="V137" s="49">
        <v>194474567</v>
      </c>
    </row>
    <row r="138" spans="1:22" s="12" customFormat="1">
      <c r="A138" s="51">
        <f t="shared" si="4"/>
        <v>134</v>
      </c>
      <c r="B138" s="46" t="s">
        <v>248</v>
      </c>
      <c r="C138" s="95">
        <v>508</v>
      </c>
      <c r="D138" s="74" t="s">
        <v>48</v>
      </c>
      <c r="E138" s="47">
        <v>13004815.300000001</v>
      </c>
      <c r="F138" s="47">
        <v>104689007.7</v>
      </c>
      <c r="G138" s="47">
        <v>117693823</v>
      </c>
      <c r="H138" s="48">
        <v>9359546</v>
      </c>
      <c r="I138" s="48">
        <v>12644547.1</v>
      </c>
      <c r="J138" s="48">
        <v>22004093.100000001</v>
      </c>
      <c r="K138" s="48">
        <v>95689729.900000006</v>
      </c>
      <c r="L138" s="48">
        <v>122433811.2</v>
      </c>
      <c r="M138" s="48">
        <v>118770852.8</v>
      </c>
      <c r="N138" s="48">
        <v>3662958.4</v>
      </c>
      <c r="O138" s="48">
        <v>6285271.0999999996</v>
      </c>
      <c r="P138" s="48">
        <v>14519871.300000001</v>
      </c>
      <c r="Q138" s="48">
        <v>-291586.40000000002</v>
      </c>
      <c r="R138" s="48">
        <v>0</v>
      </c>
      <c r="S138" s="48">
        <v>0</v>
      </c>
      <c r="T138" s="48">
        <v>-4863228.2</v>
      </c>
      <c r="U138" s="48">
        <f>(K138/V138)*1000</f>
        <v>9214.1223940108139</v>
      </c>
      <c r="V138" s="49">
        <v>10385116</v>
      </c>
    </row>
    <row r="139" spans="1:22" s="12" customFormat="1">
      <c r="A139" s="51">
        <f t="shared" si="4"/>
        <v>135</v>
      </c>
      <c r="B139" s="50" t="s">
        <v>311</v>
      </c>
      <c r="C139" s="95">
        <v>492</v>
      </c>
      <c r="D139" s="74" t="s">
        <v>300</v>
      </c>
      <c r="E139" s="47">
        <v>1187805.8999999999</v>
      </c>
      <c r="F139" s="47">
        <v>7815883.5</v>
      </c>
      <c r="G139" s="47">
        <v>9003689.4000000004</v>
      </c>
      <c r="H139" s="48">
        <v>27128831.899999999</v>
      </c>
      <c r="I139" s="48">
        <v>10877344.1</v>
      </c>
      <c r="J139" s="48">
        <v>38006176</v>
      </c>
      <c r="K139" s="48">
        <v>-29002486.600000001</v>
      </c>
      <c r="L139" s="48">
        <v>1945780.3</v>
      </c>
      <c r="M139" s="48">
        <v>1216330.7</v>
      </c>
      <c r="N139" s="48">
        <v>729449.6</v>
      </c>
      <c r="O139" s="48">
        <v>291482.7</v>
      </c>
      <c r="P139" s="48">
        <v>1487943.4</v>
      </c>
      <c r="Q139" s="48">
        <v>-5143744.5</v>
      </c>
      <c r="R139" s="48">
        <v>0</v>
      </c>
      <c r="S139" s="48">
        <v>0</v>
      </c>
      <c r="T139" s="48">
        <v>-5610755.5999999996</v>
      </c>
      <c r="U139" s="48">
        <f>(K139/V139)*1000</f>
        <v>-1521.4754423441723</v>
      </c>
      <c r="V139" s="49">
        <v>19062080</v>
      </c>
    </row>
    <row r="140" spans="1:22" s="12" customFormat="1">
      <c r="A140" s="51">
        <f t="shared" si="4"/>
        <v>136</v>
      </c>
      <c r="B140" s="46" t="s">
        <v>249</v>
      </c>
      <c r="C140" s="95">
        <v>507</v>
      </c>
      <c r="D140" s="74" t="s">
        <v>41</v>
      </c>
      <c r="E140" s="47">
        <v>6769832.2999999998</v>
      </c>
      <c r="F140" s="47">
        <v>168417392.90000001</v>
      </c>
      <c r="G140" s="47">
        <v>175187225.19999999</v>
      </c>
      <c r="H140" s="48">
        <v>1032897</v>
      </c>
      <c r="I140" s="48">
        <v>35031628.399999999</v>
      </c>
      <c r="J140" s="48">
        <v>36064525.399999999</v>
      </c>
      <c r="K140" s="48">
        <v>139122699.80000001</v>
      </c>
      <c r="L140" s="48">
        <v>111644996</v>
      </c>
      <c r="M140" s="48">
        <v>108996093</v>
      </c>
      <c r="N140" s="48">
        <v>2648903</v>
      </c>
      <c r="O140" s="48">
        <v>881718.2</v>
      </c>
      <c r="P140" s="48">
        <v>4938298.3</v>
      </c>
      <c r="Q140" s="48">
        <v>-4548480.5</v>
      </c>
      <c r="R140" s="48">
        <v>121133.8</v>
      </c>
      <c r="S140" s="48">
        <v>-154378</v>
      </c>
      <c r="T140" s="48">
        <v>-5680645.7999999998</v>
      </c>
      <c r="U140" s="48">
        <f>(K140/V140)*1000</f>
        <v>3117.2462424378223</v>
      </c>
      <c r="V140" s="49">
        <v>44630000</v>
      </c>
    </row>
    <row r="141" spans="1:22" s="12" customFormat="1">
      <c r="A141" s="51">
        <f t="shared" si="4"/>
        <v>137</v>
      </c>
      <c r="B141" s="46" t="s">
        <v>250</v>
      </c>
      <c r="C141" s="95">
        <v>504</v>
      </c>
      <c r="D141" s="74" t="s">
        <v>52</v>
      </c>
      <c r="E141" s="47">
        <v>28363326.899999999</v>
      </c>
      <c r="F141" s="47">
        <v>260076551.40000001</v>
      </c>
      <c r="G141" s="47">
        <v>288439878.30000001</v>
      </c>
      <c r="H141" s="48">
        <v>11392101.6</v>
      </c>
      <c r="I141" s="48">
        <v>15051597.1</v>
      </c>
      <c r="J141" s="48">
        <v>26443698.699999999</v>
      </c>
      <c r="K141" s="48">
        <v>261996179.59999999</v>
      </c>
      <c r="L141" s="48">
        <v>131465185.90000001</v>
      </c>
      <c r="M141" s="48">
        <v>125855124.5</v>
      </c>
      <c r="N141" s="48">
        <v>5610061.4000000004</v>
      </c>
      <c r="O141" s="48">
        <v>722036.5</v>
      </c>
      <c r="P141" s="48">
        <v>11301477.6</v>
      </c>
      <c r="Q141" s="48">
        <v>-1340055.5</v>
      </c>
      <c r="R141" s="48">
        <v>0</v>
      </c>
      <c r="S141" s="48">
        <v>0</v>
      </c>
      <c r="T141" s="48">
        <v>-6309435.2000000002</v>
      </c>
      <c r="U141" s="48">
        <f>(K141/V141)*1000</f>
        <v>263.67637052162314</v>
      </c>
      <c r="V141" s="49">
        <v>993627829</v>
      </c>
    </row>
    <row r="142" spans="1:22" s="12" customFormat="1">
      <c r="A142" s="51">
        <f t="shared" si="4"/>
        <v>138</v>
      </c>
      <c r="B142" s="46" t="s">
        <v>251</v>
      </c>
      <c r="C142" s="95">
        <v>496</v>
      </c>
      <c r="D142" s="74" t="s">
        <v>45</v>
      </c>
      <c r="E142" s="47">
        <v>10126973.5</v>
      </c>
      <c r="F142" s="47">
        <v>163533966.09999999</v>
      </c>
      <c r="G142" s="47">
        <v>173660939.59999999</v>
      </c>
      <c r="H142" s="48">
        <v>8580552</v>
      </c>
      <c r="I142" s="48">
        <v>82336735.799999997</v>
      </c>
      <c r="J142" s="48">
        <v>90917287.799999997</v>
      </c>
      <c r="K142" s="48">
        <v>82743651.799999997</v>
      </c>
      <c r="L142" s="48">
        <v>53920465.5</v>
      </c>
      <c r="M142" s="48">
        <v>58681888.299999997</v>
      </c>
      <c r="N142" s="48">
        <v>-4761422.8</v>
      </c>
      <c r="O142" s="48">
        <v>10286025.5</v>
      </c>
      <c r="P142" s="48">
        <v>4474868.5</v>
      </c>
      <c r="Q142" s="48">
        <v>-9299145.5</v>
      </c>
      <c r="R142" s="48">
        <v>0</v>
      </c>
      <c r="S142" s="48">
        <v>0</v>
      </c>
      <c r="T142" s="48">
        <v>-8249411.2999999998</v>
      </c>
      <c r="U142" s="48">
        <f>(K142/V142)*1000</f>
        <v>819.11204609791605</v>
      </c>
      <c r="V142" s="49">
        <v>101016280</v>
      </c>
    </row>
    <row r="143" spans="1:22" s="12" customFormat="1">
      <c r="A143" s="51">
        <f t="shared" si="4"/>
        <v>139</v>
      </c>
      <c r="B143" s="46" t="s">
        <v>252</v>
      </c>
      <c r="C143" s="95">
        <v>460</v>
      </c>
      <c r="D143" s="74" t="s">
        <v>98</v>
      </c>
      <c r="E143" s="47">
        <v>33006032.800000001</v>
      </c>
      <c r="F143" s="47">
        <v>89291634.400000006</v>
      </c>
      <c r="G143" s="47">
        <v>122297667.2</v>
      </c>
      <c r="H143" s="48">
        <v>57998795.399999999</v>
      </c>
      <c r="I143" s="48">
        <v>95730086.599999994</v>
      </c>
      <c r="J143" s="48">
        <v>153728882</v>
      </c>
      <c r="K143" s="48">
        <v>-31431214.800000001</v>
      </c>
      <c r="L143" s="48">
        <v>67062911.799999997</v>
      </c>
      <c r="M143" s="48">
        <v>79287983.599999994</v>
      </c>
      <c r="N143" s="48">
        <v>-12225071.800000001</v>
      </c>
      <c r="O143" s="48">
        <v>387565.8</v>
      </c>
      <c r="P143" s="48">
        <v>7093629.5999999996</v>
      </c>
      <c r="Q143" s="48">
        <v>-32904.699999999997</v>
      </c>
      <c r="R143" s="48">
        <v>0</v>
      </c>
      <c r="S143" s="48">
        <v>1545.3</v>
      </c>
      <c r="T143" s="48">
        <v>-18965585.600000001</v>
      </c>
      <c r="U143" s="48">
        <f>(K143/V143)*1000</f>
        <v>-2342.2742551829665</v>
      </c>
      <c r="V143" s="49">
        <v>13419101</v>
      </c>
    </row>
    <row r="144" spans="1:22" s="12" customFormat="1">
      <c r="A144" s="51">
        <f t="shared" si="4"/>
        <v>140</v>
      </c>
      <c r="B144" s="92" t="s">
        <v>322</v>
      </c>
      <c r="C144" s="96">
        <v>354</v>
      </c>
      <c r="D144" s="116" t="s">
        <v>323</v>
      </c>
      <c r="E144" s="94">
        <v>143481090</v>
      </c>
      <c r="F144" s="94">
        <v>154631077</v>
      </c>
      <c r="G144" s="94">
        <f>+E144+F144</f>
        <v>298112167</v>
      </c>
      <c r="H144" s="92">
        <v>157294324</v>
      </c>
      <c r="I144" s="92">
        <v>134990078</v>
      </c>
      <c r="J144" s="92">
        <f>+H144+I144</f>
        <v>292284402</v>
      </c>
      <c r="K144" s="92">
        <f>+G144-J144</f>
        <v>5827765</v>
      </c>
      <c r="L144" s="92">
        <v>193427609</v>
      </c>
      <c r="M144" s="92">
        <v>97766831</v>
      </c>
      <c r="N144" s="92">
        <f>+L144-M144</f>
        <v>95660778</v>
      </c>
      <c r="O144" s="92">
        <v>1162425</v>
      </c>
      <c r="P144" s="92">
        <f>61767484+14138399+30979282</f>
        <v>106885165</v>
      </c>
      <c r="Q144" s="92">
        <f>49464+29261+2998982</f>
        <v>3077707</v>
      </c>
      <c r="R144" s="92">
        <f>13355+11997888+4301861</f>
        <v>16313104</v>
      </c>
      <c r="S144" s="92"/>
      <c r="T144" s="92">
        <v>-23297359</v>
      </c>
      <c r="U144" s="48">
        <f>(K144/V144)*1000</f>
        <v>7.4704161258792805</v>
      </c>
      <c r="V144" s="92">
        <v>780112500</v>
      </c>
    </row>
    <row r="145" spans="1:22" s="12" customFormat="1">
      <c r="A145" s="51">
        <f t="shared" si="4"/>
        <v>141</v>
      </c>
      <c r="B145" s="46" t="s">
        <v>253</v>
      </c>
      <c r="C145" s="95">
        <v>557</v>
      </c>
      <c r="D145" s="74" t="s">
        <v>145</v>
      </c>
      <c r="E145" s="47">
        <v>44771116.5</v>
      </c>
      <c r="F145" s="47">
        <v>136948282.40000001</v>
      </c>
      <c r="G145" s="47">
        <v>181719398.90000001</v>
      </c>
      <c r="H145" s="48">
        <v>74026487.099999994</v>
      </c>
      <c r="I145" s="48">
        <v>78296972.200000003</v>
      </c>
      <c r="J145" s="48">
        <v>152323459.30000001</v>
      </c>
      <c r="K145" s="48">
        <v>29395939.600000001</v>
      </c>
      <c r="L145" s="48">
        <v>261018892.69999999</v>
      </c>
      <c r="M145" s="48">
        <v>264988803.69999999</v>
      </c>
      <c r="N145" s="48">
        <v>-3969911</v>
      </c>
      <c r="O145" s="48">
        <v>2053897.2</v>
      </c>
      <c r="P145" s="48">
        <v>22844292.600000001</v>
      </c>
      <c r="Q145" s="48">
        <v>-1163149.3</v>
      </c>
      <c r="R145" s="48">
        <v>0</v>
      </c>
      <c r="S145" s="48">
        <v>0</v>
      </c>
      <c r="T145" s="48">
        <v>-25554702.199999999</v>
      </c>
      <c r="U145" s="48">
        <f>(K145/V145)*1000</f>
        <v>35.946523324935072</v>
      </c>
      <c r="V145" s="49">
        <v>817768643</v>
      </c>
    </row>
    <row r="146" spans="1:22" s="12" customFormat="1">
      <c r="A146" s="51">
        <f t="shared" si="4"/>
        <v>142</v>
      </c>
      <c r="B146" s="48" t="s">
        <v>254</v>
      </c>
      <c r="C146" s="95">
        <v>396</v>
      </c>
      <c r="D146" s="60" t="s">
        <v>36</v>
      </c>
      <c r="E146" s="48">
        <v>70647262.299999997</v>
      </c>
      <c r="F146" s="48">
        <v>185191046.19999999</v>
      </c>
      <c r="G146" s="48">
        <v>255838308.5</v>
      </c>
      <c r="H146" s="48">
        <v>164935258.09999999</v>
      </c>
      <c r="I146" s="48">
        <v>56666677.200000003</v>
      </c>
      <c r="J146" s="48">
        <v>221601935.30000001</v>
      </c>
      <c r="K146" s="48">
        <v>34236373.200000003</v>
      </c>
      <c r="L146" s="48">
        <v>160262944.90000001</v>
      </c>
      <c r="M146" s="48">
        <v>163002692.40000001</v>
      </c>
      <c r="N146" s="48">
        <v>-2739747.5</v>
      </c>
      <c r="O146" s="48">
        <v>803355.8</v>
      </c>
      <c r="P146" s="48">
        <v>30738618.699999999</v>
      </c>
      <c r="Q146" s="48">
        <v>-984174.8</v>
      </c>
      <c r="R146" s="48">
        <v>0</v>
      </c>
      <c r="S146" s="48">
        <v>25020</v>
      </c>
      <c r="T146" s="48">
        <v>-33684205.200000003</v>
      </c>
      <c r="U146" s="48">
        <f>(K146/V146)*1000</f>
        <v>1632.2964419414945</v>
      </c>
      <c r="V146" s="49">
        <v>20974360</v>
      </c>
    </row>
    <row r="147" spans="1:22" s="12" customFormat="1">
      <c r="A147" s="51">
        <f t="shared" si="4"/>
        <v>143</v>
      </c>
      <c r="B147" s="48" t="s">
        <v>255</v>
      </c>
      <c r="C147" s="95">
        <v>536</v>
      </c>
      <c r="D147" s="60" t="s">
        <v>83</v>
      </c>
      <c r="E147" s="48">
        <v>206406335.59999999</v>
      </c>
      <c r="F147" s="48">
        <v>2179213994.0999999</v>
      </c>
      <c r="G147" s="48">
        <v>2385620329.6999998</v>
      </c>
      <c r="H147" s="48">
        <v>83675853.5</v>
      </c>
      <c r="I147" s="48">
        <v>1611112455</v>
      </c>
      <c r="J147" s="48">
        <v>1694788308.5</v>
      </c>
      <c r="K147" s="48">
        <v>690832021.20000005</v>
      </c>
      <c r="L147" s="48">
        <v>25420923.199999999</v>
      </c>
      <c r="M147" s="48">
        <v>17283351.699999999</v>
      </c>
      <c r="N147" s="48">
        <v>8137571.5</v>
      </c>
      <c r="O147" s="48">
        <v>44513717.799999997</v>
      </c>
      <c r="P147" s="48">
        <v>42807312.399999999</v>
      </c>
      <c r="Q147" s="48">
        <v>-58594914.899999999</v>
      </c>
      <c r="R147" s="48">
        <v>-664.7</v>
      </c>
      <c r="S147" s="48">
        <v>-5016413.5999999996</v>
      </c>
      <c r="T147" s="48">
        <v>-43735189.100000001</v>
      </c>
      <c r="U147" s="48">
        <f>(K147/V147)*1000</f>
        <v>3332.892801420322</v>
      </c>
      <c r="V147" s="49">
        <v>207277000</v>
      </c>
    </row>
    <row r="148" spans="1:22">
      <c r="A148" s="51">
        <f t="shared" si="4"/>
        <v>144</v>
      </c>
      <c r="B148" s="46" t="s">
        <v>335</v>
      </c>
      <c r="C148" s="95" t="s">
        <v>336</v>
      </c>
      <c r="D148" s="74" t="s">
        <v>334</v>
      </c>
      <c r="E148" s="47">
        <v>61233791.100000001</v>
      </c>
      <c r="F148" s="47">
        <v>949565891.70000005</v>
      </c>
      <c r="G148" s="47">
        <v>1010799682.8</v>
      </c>
      <c r="H148" s="47">
        <v>154906713.40000001</v>
      </c>
      <c r="I148" s="47">
        <v>329338300.19999999</v>
      </c>
      <c r="J148" s="47">
        <v>484245013.60000002</v>
      </c>
      <c r="K148" s="47">
        <v>526554669.19999999</v>
      </c>
      <c r="L148" s="47">
        <v>319326128.19999999</v>
      </c>
      <c r="M148" s="47">
        <v>324811782.60000002</v>
      </c>
      <c r="N148" s="47">
        <v>-5485654.4000000004</v>
      </c>
      <c r="O148" s="48">
        <v>12109553.800000001</v>
      </c>
      <c r="P148" s="48">
        <v>17016975.100000001</v>
      </c>
      <c r="Q148" s="48">
        <v>-39661719.700000003</v>
      </c>
      <c r="R148" s="48">
        <v>0</v>
      </c>
      <c r="S148" s="48">
        <v>354793.2</v>
      </c>
      <c r="T148" s="48">
        <v>-50409588.600000001</v>
      </c>
      <c r="U148" s="48">
        <f>(K148/V148)*1000</f>
        <v>783.81777005040317</v>
      </c>
      <c r="V148" s="49">
        <v>671782000</v>
      </c>
    </row>
    <row r="149" spans="1:22" ht="15">
      <c r="B149"/>
      <c r="C149" s="140"/>
      <c r="D149" s="141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/>
      <c r="P149"/>
      <c r="Q149"/>
      <c r="R149"/>
      <c r="S149" s="142"/>
      <c r="T149" s="142"/>
      <c r="U149"/>
      <c r="V149" s="144"/>
    </row>
    <row r="150" spans="1:22" ht="15">
      <c r="B150"/>
      <c r="C150" s="140"/>
      <c r="D150" s="141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/>
      <c r="P150"/>
      <c r="Q150"/>
      <c r="R150"/>
      <c r="S150" s="142"/>
      <c r="T150" s="142"/>
      <c r="U150"/>
      <c r="V150"/>
    </row>
    <row r="151" spans="1:22" ht="15">
      <c r="B151"/>
      <c r="C151" s="140"/>
      <c r="D151" s="141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/>
      <c r="P151"/>
      <c r="Q151"/>
      <c r="R151"/>
      <c r="S151" s="142"/>
      <c r="T151" s="142"/>
      <c r="U151"/>
      <c r="V151"/>
    </row>
    <row r="152" spans="1:22" ht="15">
      <c r="B152"/>
      <c r="C152" s="140"/>
      <c r="D152" s="141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/>
      <c r="P152"/>
      <c r="Q152"/>
      <c r="R152"/>
      <c r="S152" s="142"/>
      <c r="T152" s="142"/>
      <c r="U152"/>
      <c r="V152"/>
    </row>
    <row r="153" spans="1:22" ht="15">
      <c r="B153"/>
      <c r="C153" s="140"/>
      <c r="D153" s="141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/>
      <c r="P153"/>
      <c r="Q153"/>
      <c r="R153"/>
      <c r="S153" s="142"/>
      <c r="T153" s="142"/>
      <c r="U153"/>
      <c r="V153"/>
    </row>
    <row r="155" spans="1:22" ht="12.75" customHeight="1">
      <c r="E155" s="118" t="s">
        <v>349</v>
      </c>
      <c r="F155" s="118"/>
      <c r="G155" s="118"/>
      <c r="H155" s="118"/>
      <c r="I155" s="118"/>
      <c r="J155" s="118"/>
      <c r="K155" s="118"/>
      <c r="L155" s="118"/>
      <c r="M155" s="118"/>
      <c r="N155" s="118"/>
    </row>
    <row r="156" spans="1:22"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</row>
    <row r="157" spans="1:22"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</row>
  </sheetData>
  <autoFilter ref="A4:V4" xr:uid="{00000000-0009-0000-0000-000000000000}">
    <sortState xmlns:xlrd2="http://schemas.microsoft.com/office/spreadsheetml/2017/richdata2" ref="A6:V162">
      <sortCondition descending="1" ref="T4"/>
    </sortState>
  </autoFilter>
  <sortState xmlns:xlrd2="http://schemas.microsoft.com/office/spreadsheetml/2017/richdata2" ref="B36:V148">
    <sortCondition descending="1" ref="T36:T148"/>
  </sortState>
  <mergeCells count="9">
    <mergeCell ref="U3:V3"/>
    <mergeCell ref="D3:D4"/>
    <mergeCell ref="C3:C4"/>
    <mergeCell ref="B3:B4"/>
    <mergeCell ref="E155:N157"/>
    <mergeCell ref="B1:R1"/>
    <mergeCell ref="A3:A4"/>
    <mergeCell ref="E3:K3"/>
    <mergeCell ref="L3:T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3"/>
  <sheetViews>
    <sheetView workbookViewId="0">
      <pane xSplit="3" ySplit="4" topLeftCell="K5" activePane="bottomRight" state="frozen"/>
      <selection pane="topRight" activeCell="D1" sqref="D1"/>
      <selection pane="bottomLeft" activeCell="A5" sqref="A5"/>
      <selection pane="bottomRight" activeCell="T6" sqref="T6"/>
    </sheetView>
  </sheetViews>
  <sheetFormatPr defaultRowHeight="12.75"/>
  <cols>
    <col min="1" max="1" width="5.140625" style="38" bestFit="1" customWidth="1"/>
    <col min="2" max="2" width="17" style="7" bestFit="1" customWidth="1"/>
    <col min="3" max="3" width="8.140625" style="7" bestFit="1" customWidth="1"/>
    <col min="4" max="4" width="9.140625" style="7" customWidth="1"/>
    <col min="5" max="6" width="18.42578125" style="7" customWidth="1"/>
    <col min="7" max="7" width="18.5703125" style="7" customWidth="1"/>
    <col min="8" max="8" width="16.5703125" style="7" bestFit="1" customWidth="1"/>
    <col min="9" max="9" width="17.7109375" style="7" bestFit="1" customWidth="1"/>
    <col min="10" max="10" width="18" style="7" customWidth="1"/>
    <col min="11" max="11" width="18.85546875" style="7" customWidth="1"/>
    <col min="12" max="13" width="17.7109375" style="7" bestFit="1" customWidth="1"/>
    <col min="14" max="14" width="19.28515625" style="7" customWidth="1"/>
    <col min="15" max="15" width="19.42578125" style="7" bestFit="1" customWidth="1"/>
    <col min="16" max="17" width="17.7109375" style="7" bestFit="1" customWidth="1"/>
    <col min="18" max="18" width="17.28515625" style="7" bestFit="1" customWidth="1"/>
    <col min="19" max="19" width="15" style="7" bestFit="1" customWidth="1"/>
    <col min="20" max="20" width="20.7109375" style="7" customWidth="1"/>
    <col min="21" max="21" width="12.140625" style="7" customWidth="1"/>
    <col min="22" max="22" width="16.85546875" style="7" bestFit="1" customWidth="1"/>
    <col min="23" max="16384" width="9.140625" style="7"/>
  </cols>
  <sheetData>
    <row r="1" spans="1:22">
      <c r="A1" s="5"/>
      <c r="B1" s="119" t="s">
        <v>0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8"/>
      <c r="O1" s="8"/>
      <c r="P1" s="8"/>
      <c r="Q1" s="8"/>
      <c r="R1" s="8"/>
      <c r="S1" s="8"/>
      <c r="T1" s="8"/>
      <c r="U1" s="8"/>
      <c r="V1" s="8"/>
    </row>
    <row r="2" spans="1:22">
      <c r="A2" s="5"/>
      <c r="B2" s="2"/>
      <c r="C2" s="3"/>
      <c r="D2" s="4"/>
      <c r="E2" s="2"/>
      <c r="F2" s="2"/>
      <c r="G2" s="2"/>
      <c r="H2" s="2"/>
      <c r="I2" s="2"/>
      <c r="J2" s="2"/>
      <c r="K2" s="2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24" customHeight="1">
      <c r="A3" s="67"/>
      <c r="B3" s="78"/>
      <c r="C3" s="75"/>
      <c r="D3" s="78"/>
      <c r="E3" s="130" t="s">
        <v>1</v>
      </c>
      <c r="F3" s="130"/>
      <c r="G3" s="130"/>
      <c r="H3" s="130"/>
      <c r="I3" s="130"/>
      <c r="J3" s="130"/>
      <c r="K3" s="130"/>
      <c r="L3" s="130" t="s">
        <v>2</v>
      </c>
      <c r="M3" s="130"/>
      <c r="N3" s="130"/>
      <c r="O3" s="130"/>
      <c r="P3" s="130"/>
      <c r="Q3" s="130"/>
      <c r="R3" s="130"/>
      <c r="S3" s="130"/>
      <c r="T3" s="130"/>
      <c r="U3" s="131" t="s">
        <v>3</v>
      </c>
      <c r="V3" s="132"/>
    </row>
    <row r="4" spans="1:22" s="32" customFormat="1" ht="51">
      <c r="A4" s="67" t="s">
        <v>4</v>
      </c>
      <c r="B4" s="68" t="s">
        <v>5</v>
      </c>
      <c r="C4" s="28" t="s">
        <v>6</v>
      </c>
      <c r="D4" s="68" t="s">
        <v>7</v>
      </c>
      <c r="E4" s="68" t="s">
        <v>8</v>
      </c>
      <c r="F4" s="68" t="s">
        <v>9</v>
      </c>
      <c r="G4" s="68" t="s">
        <v>10</v>
      </c>
      <c r="H4" s="68" t="s">
        <v>11</v>
      </c>
      <c r="I4" s="68" t="s">
        <v>12</v>
      </c>
      <c r="J4" s="68" t="s">
        <v>13</v>
      </c>
      <c r="K4" s="68" t="s">
        <v>14</v>
      </c>
      <c r="L4" s="68" t="s">
        <v>15</v>
      </c>
      <c r="M4" s="68" t="s">
        <v>16</v>
      </c>
      <c r="N4" s="68" t="s">
        <v>324</v>
      </c>
      <c r="O4" s="68" t="s">
        <v>18</v>
      </c>
      <c r="P4" s="68" t="s">
        <v>19</v>
      </c>
      <c r="Q4" s="68" t="s">
        <v>20</v>
      </c>
      <c r="R4" s="68" t="s">
        <v>21</v>
      </c>
      <c r="S4" s="69" t="s">
        <v>22</v>
      </c>
      <c r="T4" s="69" t="s">
        <v>23</v>
      </c>
      <c r="U4" s="30" t="s">
        <v>24</v>
      </c>
      <c r="V4" s="31" t="s">
        <v>25</v>
      </c>
    </row>
    <row r="5" spans="1:22" s="9" customFormat="1" ht="15">
      <c r="A5" s="58">
        <v>1</v>
      </c>
      <c r="B5" s="48" t="s">
        <v>120</v>
      </c>
      <c r="C5" s="58">
        <v>547</v>
      </c>
      <c r="D5" s="60" t="s">
        <v>131</v>
      </c>
      <c r="E5" s="80">
        <f>69778056976/1000</f>
        <v>69778056.975999996</v>
      </c>
      <c r="F5" s="48">
        <f>3777778351/1000</f>
        <v>3777778.3509999998</v>
      </c>
      <c r="G5" s="48">
        <f>73555835327/1000</f>
        <v>73555835.327000007</v>
      </c>
      <c r="H5" s="48">
        <f>8283057957/1000</f>
        <v>8283057.9570000004</v>
      </c>
      <c r="I5" s="48">
        <f>36171675830/1000</f>
        <v>36171675.829999998</v>
      </c>
      <c r="J5" s="48">
        <f>44454733787/1000</f>
        <v>44454733.787</v>
      </c>
      <c r="K5" s="48">
        <f>29101101540/1000</f>
        <v>29101101.539999999</v>
      </c>
      <c r="L5" s="48">
        <f>69687366821/1000</f>
        <v>69687366.820999995</v>
      </c>
      <c r="M5" s="48">
        <f>47725398185/1000</f>
        <v>47725398.185000002</v>
      </c>
      <c r="N5" s="48">
        <f>21961968636/1000</f>
        <v>21961968.636</v>
      </c>
      <c r="O5" s="84">
        <f>57556.7+14125821.1</f>
        <v>14183377.799999999</v>
      </c>
      <c r="P5" s="84">
        <f>9775209.7</f>
        <v>9775209.6999999993</v>
      </c>
      <c r="Q5" s="48">
        <v>70518.8</v>
      </c>
      <c r="R5" s="48"/>
      <c r="S5" s="48">
        <v>394280.11200000002</v>
      </c>
      <c r="T5" s="48">
        <v>4084406.7879999992</v>
      </c>
      <c r="U5" s="48">
        <f>+K5/V5*1000</f>
        <v>46.613850645265039</v>
      </c>
      <c r="V5" s="48">
        <v>624301600</v>
      </c>
    </row>
    <row r="6" spans="1:22" s="9" customFormat="1">
      <c r="A6" s="58">
        <v>2</v>
      </c>
      <c r="B6" s="48" t="s">
        <v>119</v>
      </c>
      <c r="C6" s="58">
        <v>548</v>
      </c>
      <c r="D6" s="60" t="s">
        <v>129</v>
      </c>
      <c r="E6" s="79">
        <v>35455624.599999994</v>
      </c>
      <c r="F6" s="79">
        <v>405608</v>
      </c>
      <c r="G6" s="79">
        <v>35861232.599999994</v>
      </c>
      <c r="H6" s="79">
        <v>4187699</v>
      </c>
      <c r="I6" s="79">
        <v>14704475.300000001</v>
      </c>
      <c r="J6" s="79">
        <v>18892174.300000001</v>
      </c>
      <c r="K6" s="79">
        <v>16969058.299999993</v>
      </c>
      <c r="L6" s="79">
        <v>22315689.199999999</v>
      </c>
      <c r="M6" s="79">
        <v>4699727.3</v>
      </c>
      <c r="N6" s="48">
        <f>+L6-M6</f>
        <v>17615961.899999999</v>
      </c>
      <c r="O6" s="48">
        <f>191590.3+7068552.4</f>
        <v>7260142.7000000002</v>
      </c>
      <c r="P6" s="48">
        <f>6024806+202221.6</f>
        <v>6227027.5999999996</v>
      </c>
      <c r="Q6" s="85">
        <v>-226859.8</v>
      </c>
      <c r="R6" s="85">
        <v>54105.9</v>
      </c>
      <c r="S6" s="48">
        <v>101421.2</v>
      </c>
      <c r="T6" s="48">
        <v>758940.00000000058</v>
      </c>
      <c r="U6" s="48">
        <f>+K6/V6*1000</f>
        <v>678.76233199999967</v>
      </c>
      <c r="V6" s="48">
        <v>25000000</v>
      </c>
    </row>
    <row r="7" spans="1:22" s="9" customFormat="1">
      <c r="A7" s="72">
        <v>3</v>
      </c>
      <c r="B7" s="48" t="s">
        <v>121</v>
      </c>
      <c r="C7" s="58">
        <v>162</v>
      </c>
      <c r="D7" s="60" t="s">
        <v>132</v>
      </c>
      <c r="E7" s="77">
        <v>20087870.300000001</v>
      </c>
      <c r="F7" s="77">
        <v>17395056.699999999</v>
      </c>
      <c r="G7" s="76">
        <v>37482927</v>
      </c>
      <c r="H7" s="77">
        <v>4780741.5</v>
      </c>
      <c r="I7" s="77">
        <v>18457623.300000001</v>
      </c>
      <c r="J7" s="76">
        <v>23238364.800000001</v>
      </c>
      <c r="K7" s="76">
        <v>14244562.199999999</v>
      </c>
      <c r="L7" s="77">
        <v>27195805.600000001</v>
      </c>
      <c r="M7" s="77">
        <v>15654472.1</v>
      </c>
      <c r="N7" s="48">
        <f>+L7-M7</f>
        <v>11541333.500000002</v>
      </c>
      <c r="O7" s="48">
        <v>1043097.9</v>
      </c>
      <c r="P7" s="48">
        <v>12313368.299999997</v>
      </c>
      <c r="Q7" s="48">
        <v>63744.9</v>
      </c>
      <c r="R7" s="48"/>
      <c r="S7" s="80">
        <v>168737.7</v>
      </c>
      <c r="T7" s="48">
        <v>166070.30000000523</v>
      </c>
      <c r="U7" s="48">
        <f>+K7/V7*1000</f>
        <v>222.11199494495295</v>
      </c>
      <c r="V7" s="48">
        <v>64132341</v>
      </c>
    </row>
    <row r="8" spans="1:22">
      <c r="A8" s="58">
        <v>4</v>
      </c>
      <c r="B8" s="73" t="s">
        <v>122</v>
      </c>
      <c r="C8" s="58">
        <v>554</v>
      </c>
      <c r="D8" s="74" t="s">
        <v>130</v>
      </c>
      <c r="E8" s="81">
        <f>30292309061/1000</f>
        <v>30292309.061000001</v>
      </c>
      <c r="F8" s="79">
        <f>1377029444/1000</f>
        <v>1377029.4439999999</v>
      </c>
      <c r="G8" s="79">
        <f>31669338505/1000</f>
        <v>31669338.504999999</v>
      </c>
      <c r="H8" s="79">
        <f>3038814041/1000</f>
        <v>3038814.0410000002</v>
      </c>
      <c r="I8" s="79">
        <f>19435660425/1000</f>
        <v>19435660.425000001</v>
      </c>
      <c r="J8" s="79">
        <f>22474474466/1000</f>
        <v>22474474.465999998</v>
      </c>
      <c r="K8" s="79">
        <f>9194864039/1000</f>
        <v>9194864.0390000008</v>
      </c>
      <c r="L8" s="81">
        <f>32748253025/1000</f>
        <v>32748253.024999999</v>
      </c>
      <c r="M8" s="79">
        <f>9097162776/1000</f>
        <v>9097162.7760000005</v>
      </c>
      <c r="N8" s="79">
        <f>23651090249/1000</f>
        <v>23651090.249000002</v>
      </c>
      <c r="O8" s="81">
        <f>7274802.3+6700+0.5+121219</f>
        <v>7402721.7999999998</v>
      </c>
      <c r="P8" s="81">
        <v>8592377.0999999996</v>
      </c>
      <c r="Q8" s="81">
        <f>14752.6+-81478</f>
        <v>-66725.399999999994</v>
      </c>
      <c r="R8" s="81"/>
      <c r="S8" s="114">
        <v>109103.4</v>
      </c>
      <c r="T8" s="48">
        <v>-1365484.0999999996</v>
      </c>
      <c r="U8" s="79">
        <v>40279.687179512744</v>
      </c>
      <c r="V8" s="79">
        <v>228275458</v>
      </c>
    </row>
    <row r="10" spans="1:22">
      <c r="T10" s="39"/>
    </row>
    <row r="13" spans="1:22">
      <c r="T13" s="39"/>
    </row>
  </sheetData>
  <autoFilter ref="A4:V4" xr:uid="{00000000-0009-0000-0000-000001000000}">
    <sortState xmlns:xlrd2="http://schemas.microsoft.com/office/spreadsheetml/2017/richdata2" ref="A5:W8">
      <sortCondition descending="1" ref="T4"/>
    </sortState>
  </autoFilter>
  <sortState xmlns:xlrd2="http://schemas.microsoft.com/office/spreadsheetml/2017/richdata2" ref="B5:V8">
    <sortCondition descending="1" ref="T5:T8"/>
  </sortState>
  <mergeCells count="4">
    <mergeCell ref="B1:M1"/>
    <mergeCell ref="E3:K3"/>
    <mergeCell ref="L3:T3"/>
    <mergeCell ref="U3:V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"/>
  <sheetViews>
    <sheetView workbookViewId="0">
      <pane xSplit="3" ySplit="2" topLeftCell="I3" activePane="bottomRight" state="frozen"/>
      <selection pane="topRight" activeCell="D1" sqref="D1"/>
      <selection pane="bottomLeft" activeCell="A3" sqref="A3"/>
      <selection pane="bottomRight" activeCell="T3" sqref="T3:T7"/>
    </sheetView>
  </sheetViews>
  <sheetFormatPr defaultRowHeight="12.75"/>
  <cols>
    <col min="1" max="1" width="5.28515625" style="32" customWidth="1"/>
    <col min="2" max="2" width="24.140625" style="7" bestFit="1" customWidth="1"/>
    <col min="3" max="3" width="7.42578125" style="32" customWidth="1"/>
    <col min="4" max="4" width="9" style="32" customWidth="1"/>
    <col min="5" max="5" width="15.7109375" style="7" bestFit="1" customWidth="1"/>
    <col min="6" max="6" width="14.5703125" style="7" bestFit="1" customWidth="1"/>
    <col min="7" max="7" width="15.7109375" style="7" bestFit="1" customWidth="1"/>
    <col min="8" max="8" width="14.5703125" style="7" bestFit="1" customWidth="1"/>
    <col min="9" max="9" width="12.7109375" style="7" bestFit="1" customWidth="1"/>
    <col min="10" max="10" width="14.5703125" style="7" bestFit="1" customWidth="1"/>
    <col min="11" max="11" width="15.7109375" style="7" bestFit="1" customWidth="1"/>
    <col min="12" max="12" width="14.5703125" style="7" bestFit="1" customWidth="1"/>
    <col min="13" max="13" width="9.42578125" style="7" bestFit="1" customWidth="1"/>
    <col min="14" max="14" width="14.5703125" style="7" bestFit="1" customWidth="1"/>
    <col min="15" max="15" width="20.28515625" style="7" customWidth="1"/>
    <col min="16" max="16" width="14.5703125" style="7" bestFit="1" customWidth="1"/>
    <col min="17" max="17" width="14.140625" style="7" customWidth="1"/>
    <col min="18" max="19" width="12.7109375" style="7" bestFit="1" customWidth="1"/>
    <col min="20" max="20" width="14.5703125" style="7" bestFit="1" customWidth="1"/>
    <col min="21" max="21" width="11.7109375" style="7" customWidth="1"/>
    <col min="22" max="22" width="14" style="7" customWidth="1"/>
    <col min="23" max="16384" width="9.140625" style="7"/>
  </cols>
  <sheetData>
    <row r="1" spans="1:22" ht="27.75" customHeight="1">
      <c r="A1" s="35"/>
      <c r="B1" s="6"/>
      <c r="C1" s="33"/>
      <c r="D1" s="36"/>
      <c r="E1" s="121" t="s">
        <v>1</v>
      </c>
      <c r="F1" s="122"/>
      <c r="G1" s="122"/>
      <c r="H1" s="122"/>
      <c r="I1" s="122"/>
      <c r="J1" s="122"/>
      <c r="K1" s="123"/>
      <c r="L1" s="133" t="s">
        <v>2</v>
      </c>
      <c r="M1" s="134"/>
      <c r="N1" s="134"/>
      <c r="O1" s="134"/>
      <c r="P1" s="134"/>
      <c r="Q1" s="134"/>
      <c r="R1" s="134"/>
      <c r="S1" s="134"/>
      <c r="T1" s="134"/>
      <c r="U1" s="135" t="s">
        <v>3</v>
      </c>
      <c r="V1" s="136"/>
    </row>
    <row r="2" spans="1:22" s="32" customFormat="1" ht="69" customHeight="1">
      <c r="A2" s="26" t="s">
        <v>4</v>
      </c>
      <c r="B2" s="27" t="s">
        <v>5</v>
      </c>
      <c r="C2" s="28" t="s">
        <v>6</v>
      </c>
      <c r="D2" s="27" t="s">
        <v>7</v>
      </c>
      <c r="E2" s="27" t="s">
        <v>8</v>
      </c>
      <c r="F2" s="27" t="s">
        <v>9</v>
      </c>
      <c r="G2" s="27" t="s">
        <v>10</v>
      </c>
      <c r="H2" s="27" t="s">
        <v>11</v>
      </c>
      <c r="I2" s="27" t="s">
        <v>12</v>
      </c>
      <c r="J2" s="27" t="s">
        <v>13</v>
      </c>
      <c r="K2" s="27" t="s">
        <v>14</v>
      </c>
      <c r="L2" s="27" t="s">
        <v>15</v>
      </c>
      <c r="M2" s="27" t="s">
        <v>16</v>
      </c>
      <c r="N2" s="27" t="s">
        <v>17</v>
      </c>
      <c r="O2" s="27" t="s">
        <v>18</v>
      </c>
      <c r="P2" s="27" t="s">
        <v>19</v>
      </c>
      <c r="Q2" s="27" t="s">
        <v>20</v>
      </c>
      <c r="R2" s="27" t="s">
        <v>21</v>
      </c>
      <c r="S2" s="29" t="s">
        <v>22</v>
      </c>
      <c r="T2" s="29" t="s">
        <v>148</v>
      </c>
      <c r="U2" s="30" t="s">
        <v>24</v>
      </c>
      <c r="V2" s="31" t="s">
        <v>25</v>
      </c>
    </row>
    <row r="3" spans="1:22" s="20" customFormat="1" ht="22.5" customHeight="1">
      <c r="A3" s="34">
        <v>1</v>
      </c>
      <c r="B3" s="17" t="s">
        <v>82</v>
      </c>
      <c r="C3" s="34">
        <v>510</v>
      </c>
      <c r="D3" s="34" t="s">
        <v>147</v>
      </c>
      <c r="E3" s="87">
        <v>2296778.2999999998</v>
      </c>
      <c r="F3" s="88">
        <v>23184922.399999999</v>
      </c>
      <c r="G3" s="18">
        <f>+E3+F3</f>
        <v>25481700.699999999</v>
      </c>
      <c r="H3" s="89">
        <v>998657.6</v>
      </c>
      <c r="I3" s="90">
        <v>990846.1</v>
      </c>
      <c r="J3" s="18">
        <f>+H3+I3</f>
        <v>1989503.7</v>
      </c>
      <c r="K3" s="18">
        <f>+G3-J3</f>
        <v>23492197</v>
      </c>
      <c r="L3" s="24">
        <v>4241344.9000000004</v>
      </c>
      <c r="M3" s="17"/>
      <c r="N3" s="18">
        <f>+L3-M3</f>
        <v>4241344.9000000004</v>
      </c>
      <c r="O3" s="91">
        <v>27070.799999999999</v>
      </c>
      <c r="P3" s="18">
        <v>3629394.3000000003</v>
      </c>
      <c r="Q3" s="86">
        <v>130726.39999999999</v>
      </c>
      <c r="R3" s="17"/>
      <c r="S3" s="93">
        <v>123519.6</v>
      </c>
      <c r="T3" s="18">
        <v>646228.19999999995</v>
      </c>
      <c r="U3" s="25">
        <f>K3*1000/V3</f>
        <v>67.03178615108375</v>
      </c>
      <c r="V3" s="19">
        <v>350463539</v>
      </c>
    </row>
    <row r="4" spans="1:22" s="20" customFormat="1" ht="22.5" customHeight="1">
      <c r="A4" s="34">
        <f>+A3+1</f>
        <v>2</v>
      </c>
      <c r="B4" s="17" t="s">
        <v>125</v>
      </c>
      <c r="C4" s="34">
        <v>246</v>
      </c>
      <c r="D4" s="34" t="s">
        <v>135</v>
      </c>
      <c r="E4" s="18">
        <v>1701266.4</v>
      </c>
      <c r="F4" s="18">
        <v>10329.5</v>
      </c>
      <c r="G4" s="18">
        <f>+E4+F4</f>
        <v>1711595.9</v>
      </c>
      <c r="H4" s="18">
        <v>1149531.7</v>
      </c>
      <c r="I4" s="18">
        <v>438736.6</v>
      </c>
      <c r="J4" s="18">
        <f>+H4+I4</f>
        <v>1588268.2999999998</v>
      </c>
      <c r="K4" s="18">
        <f>+G4-J4</f>
        <v>123327.60000000009</v>
      </c>
      <c r="L4" s="23">
        <v>128034.7</v>
      </c>
      <c r="M4" s="18"/>
      <c r="N4" s="18">
        <f>+L4-M4</f>
        <v>128034.7</v>
      </c>
      <c r="O4" s="18"/>
      <c r="P4" s="18">
        <v>144386</v>
      </c>
      <c r="Q4" s="18">
        <v>-244.8</v>
      </c>
      <c r="R4" s="18"/>
      <c r="S4" s="18"/>
      <c r="T4" s="18">
        <v>-16596.100000000002</v>
      </c>
      <c r="U4" s="25">
        <f>K4*1000/V4</f>
        <v>54.307998795187132</v>
      </c>
      <c r="V4" s="21">
        <v>2270892</v>
      </c>
    </row>
    <row r="5" spans="1:22" s="20" customFormat="1" ht="22.5" customHeight="1">
      <c r="A5" s="34">
        <f t="shared" ref="A5:A7" si="0">+A4+1</f>
        <v>3</v>
      </c>
      <c r="B5" s="17" t="s">
        <v>126</v>
      </c>
      <c r="C5" s="34">
        <v>503</v>
      </c>
      <c r="D5" s="34" t="s">
        <v>136</v>
      </c>
      <c r="E5" s="16">
        <v>1069310.6000000001</v>
      </c>
      <c r="F5" s="16">
        <v>4293.7</v>
      </c>
      <c r="G5" s="18">
        <f>+E5+F5</f>
        <v>1073604.3</v>
      </c>
      <c r="H5" s="16">
        <v>229134.3</v>
      </c>
      <c r="I5" s="18"/>
      <c r="J5" s="18">
        <f>+H5+I5</f>
        <v>229134.3</v>
      </c>
      <c r="K5" s="18">
        <f>+G5-J5</f>
        <v>844470</v>
      </c>
      <c r="L5" s="24">
        <v>160.9</v>
      </c>
      <c r="M5" s="18"/>
      <c r="N5" s="18">
        <f>+L5-M5</f>
        <v>160.9</v>
      </c>
      <c r="O5" s="18">
        <v>48.2</v>
      </c>
      <c r="P5" s="18">
        <v>65427.199999999997</v>
      </c>
      <c r="Q5" s="18">
        <v>96.5</v>
      </c>
      <c r="R5" s="18"/>
      <c r="S5" s="18"/>
      <c r="T5" s="18">
        <v>-65121.599999999999</v>
      </c>
      <c r="U5" s="25">
        <f>K5*1000/V5</f>
        <v>28.149099460151426</v>
      </c>
      <c r="V5" s="21">
        <v>29999894</v>
      </c>
    </row>
    <row r="6" spans="1:22" s="20" customFormat="1" ht="22.5" customHeight="1">
      <c r="A6" s="34">
        <f t="shared" si="0"/>
        <v>4</v>
      </c>
      <c r="B6" s="17" t="s">
        <v>124</v>
      </c>
      <c r="C6" s="34">
        <v>176</v>
      </c>
      <c r="D6" s="34" t="s">
        <v>134</v>
      </c>
      <c r="E6" s="15">
        <v>245549.3</v>
      </c>
      <c r="F6" s="18">
        <v>9132</v>
      </c>
      <c r="G6" s="18">
        <f>+E6+F6</f>
        <v>254681.3</v>
      </c>
      <c r="H6" s="18">
        <v>57747.7</v>
      </c>
      <c r="I6" s="18"/>
      <c r="J6" s="18">
        <f>+H6+I6</f>
        <v>57747.7</v>
      </c>
      <c r="K6" s="18">
        <f>+G6-J6</f>
        <v>196933.59999999998</v>
      </c>
      <c r="L6" s="23">
        <v>53499.7</v>
      </c>
      <c r="M6" s="18"/>
      <c r="N6" s="18">
        <f>+L6-M6</f>
        <v>53499.7</v>
      </c>
      <c r="O6" s="18"/>
      <c r="P6" s="18">
        <v>124865</v>
      </c>
      <c r="Q6" s="18">
        <v>4380.8999999999996</v>
      </c>
      <c r="R6" s="18"/>
      <c r="S6" s="18"/>
      <c r="T6" s="18">
        <v>-66984.400000000009</v>
      </c>
      <c r="U6" s="25">
        <f>K6*1000/V6</f>
        <v>104.05782704724865</v>
      </c>
      <c r="V6" s="21">
        <v>1892540</v>
      </c>
    </row>
    <row r="7" spans="1:22" s="20" customFormat="1" ht="22.5" customHeight="1">
      <c r="A7" s="34">
        <f t="shared" si="0"/>
        <v>5</v>
      </c>
      <c r="B7" s="17" t="s">
        <v>123</v>
      </c>
      <c r="C7" s="34">
        <v>522</v>
      </c>
      <c r="D7" s="34" t="s">
        <v>133</v>
      </c>
      <c r="E7" s="14">
        <v>33097030.199999999</v>
      </c>
      <c r="F7" s="14">
        <v>4473374.5999999996</v>
      </c>
      <c r="G7" s="18">
        <f>+E7+F7</f>
        <v>37570404.799999997</v>
      </c>
      <c r="H7" s="14">
        <v>2835005.7</v>
      </c>
      <c r="I7" s="14">
        <v>20592499.699999999</v>
      </c>
      <c r="J7" s="18">
        <f>+H7+I7</f>
        <v>23427505.399999999</v>
      </c>
      <c r="K7" s="18">
        <f>+G7-J7</f>
        <v>14142899.399999999</v>
      </c>
      <c r="L7" s="22">
        <v>2447245.7999999998</v>
      </c>
      <c r="M7" s="18"/>
      <c r="N7" s="18">
        <f>+L7-M7</f>
        <v>2447245.7999999998</v>
      </c>
      <c r="O7" s="18">
        <v>1016496.8</v>
      </c>
      <c r="P7" s="18">
        <v>3594389.2</v>
      </c>
      <c r="Q7" s="18">
        <v>-3213710.3</v>
      </c>
      <c r="R7" s="18"/>
      <c r="S7" s="18">
        <v>151.80000000000001</v>
      </c>
      <c r="T7" s="18">
        <v>-3344508.7</v>
      </c>
      <c r="U7" s="25">
        <f>K7*1000/V7</f>
        <v>1032.7141458601725</v>
      </c>
      <c r="V7" s="19">
        <v>13694883</v>
      </c>
    </row>
    <row r="8" spans="1:22">
      <c r="J8" s="9"/>
      <c r="K8" s="9"/>
    </row>
    <row r="9" spans="1:22">
      <c r="T9" s="13"/>
    </row>
  </sheetData>
  <autoFilter ref="A2:V2" xr:uid="{00000000-0009-0000-0000-000002000000}">
    <sortState xmlns:xlrd2="http://schemas.microsoft.com/office/spreadsheetml/2017/richdata2" ref="A3:V6">
      <sortCondition descending="1" ref="T2"/>
    </sortState>
  </autoFilter>
  <sortState xmlns:xlrd2="http://schemas.microsoft.com/office/spreadsheetml/2017/richdata2" ref="B3:V7">
    <sortCondition descending="1" ref="T3:T7"/>
  </sortState>
  <mergeCells count="3">
    <mergeCell ref="E1:K1"/>
    <mergeCell ref="L1:T1"/>
    <mergeCell ref="U1:V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1"/>
  <sheetViews>
    <sheetView workbookViewId="0">
      <pane xSplit="3" ySplit="2" topLeftCell="I3" activePane="bottomRight" state="frozen"/>
      <selection pane="topRight" activeCell="D1" sqref="D1"/>
      <selection pane="bottomLeft" activeCell="A3" sqref="A3"/>
      <selection pane="bottomRight" activeCell="P15" sqref="P15"/>
    </sheetView>
  </sheetViews>
  <sheetFormatPr defaultRowHeight="12.75"/>
  <cols>
    <col min="1" max="1" width="5.28515625" style="38" bestFit="1" customWidth="1"/>
    <col min="2" max="2" width="14.42578125" style="7" bestFit="1" customWidth="1"/>
    <col min="3" max="3" width="6.7109375" style="38" bestFit="1" customWidth="1"/>
    <col min="4" max="4" width="8.7109375" style="32" customWidth="1"/>
    <col min="5" max="5" width="16" style="7" bestFit="1" customWidth="1"/>
    <col min="6" max="6" width="14.85546875" style="7" bestFit="1" customWidth="1"/>
    <col min="7" max="7" width="16" style="7" bestFit="1" customWidth="1"/>
    <col min="8" max="8" width="15.85546875" style="7" bestFit="1" customWidth="1"/>
    <col min="9" max="9" width="14.7109375" style="7" bestFit="1" customWidth="1"/>
    <col min="10" max="11" width="15.85546875" style="7" bestFit="1" customWidth="1"/>
    <col min="12" max="13" width="14.7109375" style="7" bestFit="1" customWidth="1"/>
    <col min="14" max="14" width="15.42578125" style="7" bestFit="1" customWidth="1"/>
    <col min="15" max="15" width="15.85546875" style="7" bestFit="1" customWidth="1"/>
    <col min="16" max="16" width="14.7109375" style="7" bestFit="1" customWidth="1"/>
    <col min="17" max="17" width="13.5703125" style="7" bestFit="1" customWidth="1"/>
    <col min="18" max="18" width="14.7109375" style="7" bestFit="1" customWidth="1"/>
    <col min="19" max="19" width="14.5703125" style="7" bestFit="1" customWidth="1"/>
    <col min="20" max="20" width="14.7109375" style="7" bestFit="1" customWidth="1"/>
    <col min="21" max="21" width="9.42578125" style="7" bestFit="1" customWidth="1"/>
    <col min="22" max="22" width="18.85546875" style="7" bestFit="1" customWidth="1"/>
    <col min="23" max="16384" width="9.140625" style="7"/>
  </cols>
  <sheetData>
    <row r="1" spans="1:22">
      <c r="A1" s="37"/>
      <c r="B1" s="6"/>
      <c r="C1" s="37"/>
      <c r="D1" s="36"/>
      <c r="E1" s="126" t="s">
        <v>1</v>
      </c>
      <c r="F1" s="137"/>
      <c r="G1" s="137"/>
      <c r="H1" s="137"/>
      <c r="I1" s="137"/>
      <c r="J1" s="137"/>
      <c r="K1" s="127"/>
      <c r="L1" s="124" t="s">
        <v>2</v>
      </c>
      <c r="M1" s="125"/>
      <c r="N1" s="125"/>
      <c r="O1" s="125"/>
      <c r="P1" s="125"/>
      <c r="Q1" s="125"/>
      <c r="R1" s="125"/>
      <c r="S1" s="125"/>
      <c r="T1" s="125"/>
      <c r="U1" s="131" t="s">
        <v>3</v>
      </c>
      <c r="V1" s="132"/>
    </row>
    <row r="2" spans="1:22" s="32" customFormat="1" ht="76.5">
      <c r="A2" s="54" t="s">
        <v>4</v>
      </c>
      <c r="B2" s="52" t="s">
        <v>5</v>
      </c>
      <c r="C2" s="53" t="s">
        <v>6</v>
      </c>
      <c r="D2" s="52" t="s">
        <v>7</v>
      </c>
      <c r="E2" s="52" t="s">
        <v>8</v>
      </c>
      <c r="F2" s="52" t="s">
        <v>9</v>
      </c>
      <c r="G2" s="52" t="s">
        <v>10</v>
      </c>
      <c r="H2" s="52" t="s">
        <v>11</v>
      </c>
      <c r="I2" s="52" t="s">
        <v>12</v>
      </c>
      <c r="J2" s="52" t="s">
        <v>13</v>
      </c>
      <c r="K2" s="52" t="s">
        <v>14</v>
      </c>
      <c r="L2" s="52" t="s">
        <v>15</v>
      </c>
      <c r="M2" s="52" t="s">
        <v>16</v>
      </c>
      <c r="N2" s="52" t="s">
        <v>153</v>
      </c>
      <c r="O2" s="52" t="s">
        <v>18</v>
      </c>
      <c r="P2" s="52" t="s">
        <v>19</v>
      </c>
      <c r="Q2" s="52" t="s">
        <v>20</v>
      </c>
      <c r="R2" s="52" t="s">
        <v>21</v>
      </c>
      <c r="S2" s="55" t="s">
        <v>22</v>
      </c>
      <c r="T2" s="55" t="s">
        <v>23</v>
      </c>
      <c r="U2" s="30" t="s">
        <v>24</v>
      </c>
      <c r="V2" s="31" t="s">
        <v>25</v>
      </c>
    </row>
    <row r="3" spans="1:22" s="12" customFormat="1">
      <c r="A3" s="58">
        <v>1</v>
      </c>
      <c r="B3" s="59" t="s">
        <v>142</v>
      </c>
      <c r="C3" s="58">
        <v>553</v>
      </c>
      <c r="D3" s="60" t="s">
        <v>143</v>
      </c>
      <c r="E3" s="59">
        <v>350164676.80000001</v>
      </c>
      <c r="F3" s="59">
        <v>6166304.9000000004</v>
      </c>
      <c r="G3" s="59">
        <f>+E3+F3</f>
        <v>356330981.69999999</v>
      </c>
      <c r="H3" s="61">
        <v>172192121.29356983</v>
      </c>
      <c r="I3" s="61">
        <v>64014336.391647831</v>
      </c>
      <c r="J3" s="59">
        <f>+H3+I3</f>
        <v>236206457.68521768</v>
      </c>
      <c r="K3" s="59">
        <f>+G3-J3</f>
        <v>120124524.01478231</v>
      </c>
      <c r="L3" s="59">
        <v>81051603</v>
      </c>
      <c r="M3" s="59">
        <v>25604130</v>
      </c>
      <c r="N3" s="59">
        <f>+L3-M3</f>
        <v>55447473</v>
      </c>
      <c r="O3" s="59">
        <f>13244471+393282</f>
        <v>13637753</v>
      </c>
      <c r="P3" s="59">
        <f>873570+8858395+2154380+8487330</f>
        <v>20373675</v>
      </c>
      <c r="Q3" s="59">
        <f>-5712620+(-35824)</f>
        <v>-5748444</v>
      </c>
      <c r="R3" s="44"/>
      <c r="S3" s="59">
        <v>9337543</v>
      </c>
      <c r="T3" s="62">
        <v>33625564</v>
      </c>
      <c r="U3" s="59">
        <f>K3*1000/V3</f>
        <v>1585.9220317212107</v>
      </c>
      <c r="V3" s="59">
        <v>75744281</v>
      </c>
    </row>
    <row r="4" spans="1:22" s="57" customFormat="1">
      <c r="A4" s="63">
        <v>2</v>
      </c>
      <c r="B4" s="62" t="s">
        <v>146</v>
      </c>
      <c r="C4" s="63">
        <v>550</v>
      </c>
      <c r="D4" s="64" t="s">
        <v>129</v>
      </c>
      <c r="E4" s="62">
        <v>56476575</v>
      </c>
      <c r="F4" s="62">
        <v>1576909.2</v>
      </c>
      <c r="G4" s="62">
        <f>+E4+F4</f>
        <v>58053484.200000003</v>
      </c>
      <c r="H4" s="62">
        <v>39642481.200000003</v>
      </c>
      <c r="I4" s="62">
        <v>314901.59999999998</v>
      </c>
      <c r="J4" s="62">
        <f>+H4+I4</f>
        <v>39957382.800000004</v>
      </c>
      <c r="K4" s="62">
        <f>+G4-J4</f>
        <v>18096101.399999999</v>
      </c>
      <c r="L4" s="62">
        <v>11339294.300000001</v>
      </c>
      <c r="M4" s="62">
        <v>3858139.4</v>
      </c>
      <c r="N4" s="62">
        <f>+L4-M4</f>
        <v>7481154.9000000004</v>
      </c>
      <c r="O4" s="65">
        <v>8394337.3000000007</v>
      </c>
      <c r="P4" s="65">
        <v>8976287.8000000007</v>
      </c>
      <c r="Q4" s="62"/>
      <c r="R4" s="65"/>
      <c r="S4" s="62">
        <v>343398.3</v>
      </c>
      <c r="T4" s="62">
        <v>6555806.1000000006</v>
      </c>
      <c r="U4" s="62">
        <f>K4*1000/V4</f>
        <v>64.685917012873134</v>
      </c>
      <c r="V4" s="62">
        <v>279753341</v>
      </c>
    </row>
    <row r="5" spans="1:22" s="12" customFormat="1">
      <c r="A5" s="58">
        <v>3</v>
      </c>
      <c r="B5" s="59" t="s">
        <v>127</v>
      </c>
      <c r="C5" s="58">
        <v>545</v>
      </c>
      <c r="D5" s="60" t="s">
        <v>137</v>
      </c>
      <c r="E5" s="59">
        <v>70790340</v>
      </c>
      <c r="F5" s="59">
        <v>6068417</v>
      </c>
      <c r="G5" s="59">
        <f>+E5+F5</f>
        <v>76858757</v>
      </c>
      <c r="H5" s="59">
        <v>36789588</v>
      </c>
      <c r="I5" s="59">
        <v>15839268</v>
      </c>
      <c r="J5" s="59">
        <f>+H5+I5</f>
        <v>52628856</v>
      </c>
      <c r="K5" s="59">
        <f>+G5-J5</f>
        <v>24229901</v>
      </c>
      <c r="L5" s="59">
        <v>20214948</v>
      </c>
      <c r="M5" s="59">
        <f>3949884+1438655</f>
        <v>5388539</v>
      </c>
      <c r="N5" s="59">
        <f>+L5-M5</f>
        <v>14826409</v>
      </c>
      <c r="O5" s="15"/>
      <c r="P5" s="15">
        <f>7656249+637914</f>
        <v>8294163</v>
      </c>
      <c r="Q5" s="59"/>
      <c r="R5" s="59"/>
      <c r="S5" s="59">
        <v>1007265</v>
      </c>
      <c r="T5" s="59">
        <v>5524981</v>
      </c>
      <c r="U5" s="59">
        <f>K5*1000/V5</f>
        <v>32.720694368867839</v>
      </c>
      <c r="V5" s="59">
        <v>740506932</v>
      </c>
    </row>
    <row r="6" spans="1:22" s="12" customFormat="1">
      <c r="A6" s="58">
        <v>4</v>
      </c>
      <c r="B6" s="59" t="s">
        <v>128</v>
      </c>
      <c r="C6" s="58">
        <v>438</v>
      </c>
      <c r="D6" s="60" t="s">
        <v>138</v>
      </c>
      <c r="E6" s="59">
        <v>17533629.300000001</v>
      </c>
      <c r="F6" s="59">
        <v>488384.8</v>
      </c>
      <c r="G6" s="59">
        <f>+E6+F6</f>
        <v>18022014.100000001</v>
      </c>
      <c r="H6" s="59">
        <v>3765577.9</v>
      </c>
      <c r="I6" s="59">
        <v>0</v>
      </c>
      <c r="J6" s="59">
        <f>+H6+I6</f>
        <v>3765577.9</v>
      </c>
      <c r="K6" s="59">
        <f>+G6-J6</f>
        <v>14256436.200000001</v>
      </c>
      <c r="L6" s="59">
        <v>3051928.9</v>
      </c>
      <c r="M6" s="59">
        <v>0</v>
      </c>
      <c r="N6" s="59">
        <f>+L6-M6</f>
        <v>3051928.9</v>
      </c>
      <c r="O6" s="59">
        <v>182202.7</v>
      </c>
      <c r="P6" s="59">
        <v>1013191.1000000001</v>
      </c>
      <c r="Q6" s="59"/>
      <c r="R6" s="59"/>
      <c r="S6" s="66">
        <v>227324.6</v>
      </c>
      <c r="T6" s="59">
        <v>1993615.9</v>
      </c>
      <c r="U6" s="59">
        <f>K6*1000/V6</f>
        <v>12.604184741914551</v>
      </c>
      <c r="V6" s="59">
        <v>1131087531</v>
      </c>
    </row>
    <row r="8" spans="1:22">
      <c r="S8" s="39"/>
      <c r="T8" s="13"/>
    </row>
    <row r="10" spans="1:22">
      <c r="S10" s="13"/>
      <c r="T10" s="39"/>
    </row>
    <row r="11" spans="1:22">
      <c r="R11" s="39"/>
    </row>
  </sheetData>
  <autoFilter ref="A2:V2" xr:uid="{00000000-0009-0000-0000-000003000000}">
    <sortState xmlns:xlrd2="http://schemas.microsoft.com/office/spreadsheetml/2017/richdata2" ref="A3:V6">
      <sortCondition descending="1" ref="T2"/>
    </sortState>
  </autoFilter>
  <sortState xmlns:xlrd2="http://schemas.microsoft.com/office/spreadsheetml/2017/richdata2" ref="B3:V6">
    <sortCondition descending="1" ref="T3:T6"/>
  </sortState>
  <mergeCells count="3">
    <mergeCell ref="E1:K1"/>
    <mergeCell ref="L1:T1"/>
    <mergeCell ref="U1:V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:L7"/>
    </sheetView>
  </sheetViews>
  <sheetFormatPr defaultRowHeight="12.75"/>
  <cols>
    <col min="1" max="1" width="5.42578125" style="7" customWidth="1"/>
    <col min="2" max="2" width="13.140625" style="7" customWidth="1"/>
    <col min="3" max="3" width="8.140625" style="7" bestFit="1" customWidth="1"/>
    <col min="4" max="4" width="9.140625" style="7"/>
    <col min="5" max="5" width="16.85546875" style="7" bestFit="1" customWidth="1"/>
    <col min="6" max="6" width="14.5703125" style="7" bestFit="1" customWidth="1"/>
    <col min="7" max="11" width="16.85546875" style="7" bestFit="1" customWidth="1"/>
    <col min="12" max="14" width="15.7109375" style="7" bestFit="1" customWidth="1"/>
    <col min="15" max="15" width="18.42578125" style="7" customWidth="1"/>
    <col min="16" max="16" width="15.7109375" style="7" bestFit="1" customWidth="1"/>
    <col min="17" max="17" width="14.5703125" style="7" bestFit="1" customWidth="1"/>
    <col min="18" max="18" width="15.7109375" style="7" bestFit="1" customWidth="1"/>
    <col min="19" max="19" width="14.5703125" style="7" bestFit="1" customWidth="1"/>
    <col min="20" max="20" width="17.28515625" style="7" bestFit="1" customWidth="1"/>
    <col min="21" max="21" width="13.140625" style="7" customWidth="1"/>
    <col min="22" max="22" width="15.42578125" style="7" bestFit="1" customWidth="1"/>
    <col min="23" max="16384" width="9.140625" style="7"/>
  </cols>
  <sheetData>
    <row r="1" spans="1:22">
      <c r="A1" s="1"/>
      <c r="B1" s="119" t="s">
        <v>0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8"/>
      <c r="O1" s="8"/>
      <c r="P1" s="8"/>
      <c r="Q1" s="8"/>
      <c r="R1" s="8"/>
      <c r="S1" s="8"/>
      <c r="T1" s="8"/>
      <c r="U1" s="8"/>
      <c r="V1" s="8"/>
    </row>
    <row r="2" spans="1:22">
      <c r="A2" s="1"/>
      <c r="B2" s="2"/>
      <c r="C2" s="3"/>
      <c r="D2" s="4"/>
      <c r="E2" s="2"/>
      <c r="F2" s="2"/>
      <c r="G2" s="2"/>
      <c r="H2" s="2"/>
      <c r="I2" s="2"/>
      <c r="J2" s="2"/>
      <c r="K2" s="2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24.75" customHeight="1">
      <c r="A3" s="100"/>
      <c r="B3" s="78"/>
      <c r="C3" s="75"/>
      <c r="D3" s="78"/>
      <c r="E3" s="138" t="s">
        <v>1</v>
      </c>
      <c r="F3" s="138"/>
      <c r="G3" s="138"/>
      <c r="H3" s="138"/>
      <c r="I3" s="138"/>
      <c r="J3" s="138"/>
      <c r="K3" s="138"/>
      <c r="L3" s="138" t="s">
        <v>2</v>
      </c>
      <c r="M3" s="138"/>
      <c r="N3" s="138"/>
      <c r="O3" s="138"/>
      <c r="P3" s="138"/>
      <c r="Q3" s="138"/>
      <c r="R3" s="138"/>
      <c r="S3" s="138"/>
      <c r="T3" s="138"/>
      <c r="U3" s="139" t="s">
        <v>3</v>
      </c>
      <c r="V3" s="139"/>
    </row>
    <row r="4" spans="1:22" s="32" customFormat="1" ht="63.75">
      <c r="A4" s="26" t="s">
        <v>4</v>
      </c>
      <c r="B4" s="82" t="s">
        <v>5</v>
      </c>
      <c r="C4" s="28" t="s">
        <v>6</v>
      </c>
      <c r="D4" s="82" t="s">
        <v>7</v>
      </c>
      <c r="E4" s="82" t="s">
        <v>8</v>
      </c>
      <c r="F4" s="82" t="s">
        <v>9</v>
      </c>
      <c r="G4" s="82" t="s">
        <v>10</v>
      </c>
      <c r="H4" s="82" t="s">
        <v>11</v>
      </c>
      <c r="I4" s="82" t="s">
        <v>12</v>
      </c>
      <c r="J4" s="82" t="s">
        <v>13</v>
      </c>
      <c r="K4" s="82" t="s">
        <v>14</v>
      </c>
      <c r="L4" s="82" t="s">
        <v>15</v>
      </c>
      <c r="M4" s="82" t="s">
        <v>16</v>
      </c>
      <c r="N4" s="82" t="s">
        <v>153</v>
      </c>
      <c r="O4" s="82" t="s">
        <v>18</v>
      </c>
      <c r="P4" s="82" t="s">
        <v>19</v>
      </c>
      <c r="Q4" s="82" t="s">
        <v>20</v>
      </c>
      <c r="R4" s="82" t="s">
        <v>21</v>
      </c>
      <c r="S4" s="83" t="s">
        <v>22</v>
      </c>
      <c r="T4" s="83" t="s">
        <v>23</v>
      </c>
      <c r="U4" s="101" t="s">
        <v>24</v>
      </c>
      <c r="V4" s="102" t="s">
        <v>25</v>
      </c>
    </row>
    <row r="5" spans="1:22" s="9" customFormat="1">
      <c r="A5" s="103">
        <v>1</v>
      </c>
      <c r="B5" s="46" t="s">
        <v>150</v>
      </c>
      <c r="C5" s="74">
        <v>562</v>
      </c>
      <c r="D5" s="74" t="s">
        <v>151</v>
      </c>
      <c r="E5" s="104">
        <v>8506697744.6000004</v>
      </c>
      <c r="F5" s="104">
        <v>477861787.60000008</v>
      </c>
      <c r="G5" s="104">
        <v>8984559532.2000008</v>
      </c>
      <c r="H5" s="104">
        <v>8051066579.999999</v>
      </c>
      <c r="I5" s="104">
        <v>71587189.700000003</v>
      </c>
      <c r="J5" s="104">
        <v>8122653769.6999989</v>
      </c>
      <c r="K5" s="104">
        <v>861905762.5</v>
      </c>
      <c r="L5" s="106">
        <v>609909165.5</v>
      </c>
      <c r="M5" s="106">
        <v>224338381.69999999</v>
      </c>
      <c r="N5" s="104">
        <v>385570783.80000001</v>
      </c>
      <c r="O5" s="111">
        <v>537009469.89999998</v>
      </c>
      <c r="P5" s="108">
        <v>343211486</v>
      </c>
      <c r="Q5" s="111"/>
      <c r="R5" s="111"/>
      <c r="S5" s="108">
        <v>77295935.700000003</v>
      </c>
      <c r="T5" s="48">
        <v>116502048.19999997</v>
      </c>
      <c r="U5" s="104">
        <v>1065.8479878990915</v>
      </c>
      <c r="V5" s="105">
        <v>808657306</v>
      </c>
    </row>
    <row r="6" spans="1:22" ht="15">
      <c r="A6" s="74">
        <v>2</v>
      </c>
      <c r="B6" s="46" t="s">
        <v>149</v>
      </c>
      <c r="C6" s="40">
        <v>564</v>
      </c>
      <c r="D6" s="40" t="s">
        <v>152</v>
      </c>
      <c r="E6" s="104">
        <v>4014627720.5999999</v>
      </c>
      <c r="F6" s="104">
        <v>150013813</v>
      </c>
      <c r="G6" s="104">
        <v>4164641533.5999999</v>
      </c>
      <c r="H6" s="104">
        <v>3661251248.7999997</v>
      </c>
      <c r="I6" s="104">
        <v>7181105.5999999996</v>
      </c>
      <c r="J6" s="104">
        <v>3668432354.3999996</v>
      </c>
      <c r="K6" s="104">
        <v>496209179.19999999</v>
      </c>
      <c r="L6" s="106">
        <v>404929919.19999999</v>
      </c>
      <c r="M6" s="106">
        <v>182859623</v>
      </c>
      <c r="N6" s="104">
        <v>222070296.19999999</v>
      </c>
      <c r="O6" s="108">
        <v>292236163.69999999</v>
      </c>
      <c r="P6" s="109">
        <v>168082544</v>
      </c>
      <c r="Q6" s="108"/>
      <c r="R6" s="110"/>
      <c r="S6" s="48">
        <v>26858776.600000001</v>
      </c>
      <c r="T6" s="48">
        <v>97294843.099999994</v>
      </c>
      <c r="U6" s="104">
        <v>657.1469255740576</v>
      </c>
      <c r="V6" s="105">
        <v>755096250</v>
      </c>
    </row>
    <row r="7" spans="1:22" ht="15">
      <c r="A7" s="74">
        <v>3</v>
      </c>
      <c r="B7" s="48" t="s">
        <v>139</v>
      </c>
      <c r="C7" s="58">
        <v>558</v>
      </c>
      <c r="D7" s="60" t="s">
        <v>140</v>
      </c>
      <c r="E7" s="117">
        <v>469025207</v>
      </c>
      <c r="F7" s="117">
        <v>9358304</v>
      </c>
      <c r="G7" s="117">
        <v>478383511</v>
      </c>
      <c r="H7" s="117">
        <v>357368216</v>
      </c>
      <c r="I7" s="117">
        <v>4395217</v>
      </c>
      <c r="J7" s="117">
        <v>361763433</v>
      </c>
      <c r="K7" s="117">
        <v>116620078</v>
      </c>
      <c r="L7" s="104">
        <v>45611503</v>
      </c>
      <c r="M7" s="104">
        <v>16258468</v>
      </c>
      <c r="N7" s="104">
        <f>+L7-M7</f>
        <v>29353035</v>
      </c>
      <c r="O7" s="112">
        <v>33620008</v>
      </c>
      <c r="P7" s="107">
        <v>12393928</v>
      </c>
      <c r="Q7" s="113"/>
      <c r="R7" s="113"/>
      <c r="S7" s="107">
        <v>2169603</v>
      </c>
      <c r="T7" s="48">
        <v>19056477</v>
      </c>
      <c r="U7" s="104">
        <v>1866.7226512</v>
      </c>
      <c r="V7" s="105">
        <v>1250000000</v>
      </c>
    </row>
    <row r="8" spans="1:22">
      <c r="A8" s="32"/>
    </row>
    <row r="9" spans="1:22">
      <c r="M9" s="41"/>
    </row>
  </sheetData>
  <sortState xmlns:xlrd2="http://schemas.microsoft.com/office/spreadsheetml/2017/richdata2" ref="B5:V7">
    <sortCondition descending="1" ref="T5:T7"/>
  </sortState>
  <mergeCells count="4">
    <mergeCell ref="B1:M1"/>
    <mergeCell ref="E3:K3"/>
    <mergeCell ref="L3:T3"/>
    <mergeCell ref="U3:V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ААН</vt:lpstr>
      <vt:lpstr>Даатгал</vt:lpstr>
      <vt:lpstr>ҮЦК</vt:lpstr>
      <vt:lpstr>ББСБ</vt:lpstr>
      <vt:lpstr>Банк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2022-02-23T09:14:05Z</dcterms:created>
  <dcterms:modified xsi:type="dcterms:W3CDTF">2023-06-30T08:27:03Z</dcterms:modified>
</cp:coreProperties>
</file>