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deelliin san\Members\Санхүүгийн тайлан нэгтгэл\"/>
    </mc:Choice>
  </mc:AlternateContent>
  <bookViews>
    <workbookView xWindow="0" yWindow="0" windowWidth="10215" windowHeight="8370"/>
  </bookViews>
  <sheets>
    <sheet name="MNG" sheetId="1" r:id="rId1"/>
    <sheet name="ENG" sheetId="4" r:id="rId2"/>
  </sheets>
  <definedNames>
    <definedName name="_xlnm._FilterDatabase" localSheetId="0" hidden="1">MNG!$A$4:$O$62</definedName>
    <definedName name="_xlnm.Print_Area" localSheetId="0">MNG!$A$1:$M$64</definedName>
  </definedNames>
  <calcPr calcId="152511"/>
</workbook>
</file>

<file path=xl/calcChain.xml><?xml version="1.0" encoding="utf-8"?>
<calcChain xmlns="http://schemas.openxmlformats.org/spreadsheetml/2006/main">
  <c r="E17" i="4" l="1"/>
  <c r="F17" i="4"/>
  <c r="G17" i="4"/>
  <c r="H17" i="4"/>
  <c r="I17" i="4"/>
  <c r="J17" i="4"/>
  <c r="K17" i="4"/>
  <c r="L17" i="4"/>
  <c r="M17" i="4"/>
  <c r="E19" i="4"/>
  <c r="F19" i="4"/>
  <c r="G19" i="4"/>
  <c r="H19" i="4"/>
  <c r="I19" i="4"/>
  <c r="J19" i="4"/>
  <c r="K19" i="4"/>
  <c r="L19" i="4"/>
  <c r="M19" i="4"/>
  <c r="E31" i="4"/>
  <c r="F31" i="4"/>
  <c r="G31" i="4"/>
  <c r="H31" i="4"/>
  <c r="I31" i="4"/>
  <c r="J31" i="4"/>
  <c r="K31" i="4"/>
  <c r="L31" i="4"/>
  <c r="M31" i="4"/>
  <c r="A43" i="1" l="1"/>
  <c r="A44" i="1" s="1"/>
  <c r="A45" i="1" s="1"/>
  <c r="K25" i="1" l="1"/>
  <c r="J25" i="1"/>
  <c r="M25" i="1"/>
  <c r="L25" i="1"/>
  <c r="I25" i="1"/>
  <c r="H25" i="1"/>
  <c r="G25" i="1"/>
  <c r="F25" i="1"/>
  <c r="E25" i="1"/>
  <c r="D25" i="1"/>
  <c r="L18" i="1" l="1"/>
  <c r="D41" i="4" l="1"/>
  <c r="D7" i="4"/>
  <c r="D9" i="4"/>
  <c r="D30" i="4"/>
  <c r="D38" i="4"/>
  <c r="D12" i="4"/>
  <c r="D48" i="4"/>
  <c r="D22" i="4"/>
  <c r="D15" i="4"/>
  <c r="D42" i="4"/>
  <c r="D28" i="4"/>
  <c r="D26" i="4"/>
  <c r="D49" i="4"/>
  <c r="D18" i="4"/>
  <c r="D14" i="4"/>
  <c r="D16" i="4"/>
  <c r="D27" i="4"/>
  <c r="D43" i="4"/>
  <c r="D11" i="4"/>
  <c r="D50" i="4"/>
  <c r="D21" i="4"/>
  <c r="D37" i="4"/>
  <c r="D24" i="4"/>
  <c r="D23" i="4"/>
  <c r="D25" i="4"/>
  <c r="D51" i="4"/>
  <c r="D52" i="4"/>
  <c r="D53" i="4"/>
  <c r="D45" i="4"/>
  <c r="D54" i="4"/>
  <c r="D55" i="4"/>
  <c r="D33" i="4"/>
  <c r="D56" i="4"/>
  <c r="D44" i="4"/>
  <c r="D29" i="4"/>
  <c r="D10" i="4"/>
  <c r="D34" i="4"/>
  <c r="D8" i="4"/>
  <c r="D35" i="4"/>
  <c r="D40" i="4"/>
  <c r="D46" i="4"/>
  <c r="D39" i="4"/>
  <c r="D13" i="4"/>
  <c r="D57" i="4"/>
  <c r="D20" i="4"/>
  <c r="D32" i="4"/>
  <c r="D58" i="4"/>
  <c r="D59" i="4"/>
  <c r="D60" i="4"/>
  <c r="D36" i="4"/>
  <c r="D47" i="4"/>
  <c r="F60" i="4" l="1"/>
  <c r="G60" i="4"/>
  <c r="H60" i="4"/>
  <c r="I60" i="4"/>
  <c r="J60" i="4"/>
  <c r="K60" i="4"/>
  <c r="L60" i="4"/>
  <c r="M60" i="4"/>
  <c r="F57" i="4"/>
  <c r="G57" i="4"/>
  <c r="H57" i="4"/>
  <c r="I57" i="4"/>
  <c r="J57" i="4"/>
  <c r="K57" i="4"/>
  <c r="L57" i="4"/>
  <c r="M57" i="4"/>
  <c r="F36" i="4"/>
  <c r="G36" i="4"/>
  <c r="H36" i="4"/>
  <c r="I36" i="4"/>
  <c r="J36" i="4"/>
  <c r="K36" i="4"/>
  <c r="L36" i="4"/>
  <c r="M36" i="4"/>
  <c r="F54" i="4"/>
  <c r="G54" i="4"/>
  <c r="H54" i="4"/>
  <c r="I54" i="4"/>
  <c r="J54" i="4"/>
  <c r="K54" i="4"/>
  <c r="L54" i="4"/>
  <c r="M54" i="4"/>
  <c r="E60" i="4"/>
  <c r="E57" i="4"/>
  <c r="E36" i="4"/>
  <c r="E54" i="4"/>
  <c r="F41" i="4"/>
  <c r="G41" i="4"/>
  <c r="H41" i="4"/>
  <c r="I41" i="4"/>
  <c r="J41" i="4"/>
  <c r="K41" i="4"/>
  <c r="L41" i="4"/>
  <c r="M41" i="4"/>
  <c r="F9" i="4"/>
  <c r="G9" i="4"/>
  <c r="H9" i="4"/>
  <c r="I9" i="4"/>
  <c r="J9" i="4"/>
  <c r="K9" i="4"/>
  <c r="L9" i="4"/>
  <c r="M9" i="4"/>
  <c r="F48" i="4"/>
  <c r="G48" i="4"/>
  <c r="H48" i="4"/>
  <c r="I48" i="4"/>
  <c r="J48" i="4"/>
  <c r="K48" i="4"/>
  <c r="L48" i="4"/>
  <c r="M48" i="4"/>
  <c r="F37" i="4"/>
  <c r="G37" i="4"/>
  <c r="H37" i="4"/>
  <c r="I37" i="4"/>
  <c r="J37" i="4"/>
  <c r="K37" i="4"/>
  <c r="L37" i="4"/>
  <c r="M37" i="4"/>
  <c r="F12" i="4"/>
  <c r="G12" i="4"/>
  <c r="H12" i="4"/>
  <c r="I12" i="4"/>
  <c r="J12" i="4"/>
  <c r="K12" i="4"/>
  <c r="L12" i="4"/>
  <c r="M12" i="4"/>
  <c r="F39" i="4"/>
  <c r="G39" i="4"/>
  <c r="H39" i="4"/>
  <c r="I39" i="4"/>
  <c r="J39" i="4"/>
  <c r="K39" i="4"/>
  <c r="L39" i="4"/>
  <c r="M39" i="4"/>
  <c r="F43" i="4"/>
  <c r="G43" i="4"/>
  <c r="H43" i="4"/>
  <c r="I43" i="4"/>
  <c r="J43" i="4"/>
  <c r="K43" i="4"/>
  <c r="L43" i="4"/>
  <c r="M43" i="4"/>
  <c r="F27" i="4"/>
  <c r="G27" i="4"/>
  <c r="H27" i="4"/>
  <c r="I27" i="4"/>
  <c r="J27" i="4"/>
  <c r="K27" i="4"/>
  <c r="L27" i="4"/>
  <c r="M27" i="4"/>
  <c r="F7" i="4"/>
  <c r="G7" i="4"/>
  <c r="H7" i="4"/>
  <c r="I7" i="4"/>
  <c r="J7" i="4"/>
  <c r="K7" i="4"/>
  <c r="L7" i="4"/>
  <c r="M7" i="4"/>
  <c r="F42" i="4"/>
  <c r="G42" i="4"/>
  <c r="H42" i="4"/>
  <c r="I42" i="4"/>
  <c r="J42" i="4"/>
  <c r="K42" i="4"/>
  <c r="L42" i="4"/>
  <c r="M42" i="4"/>
  <c r="F45" i="4"/>
  <c r="G45" i="4"/>
  <c r="H45" i="4"/>
  <c r="I45" i="4"/>
  <c r="J45" i="4"/>
  <c r="K45" i="4"/>
  <c r="L45" i="4"/>
  <c r="M45" i="4"/>
  <c r="F8" i="4"/>
  <c r="G8" i="4"/>
  <c r="H8" i="4"/>
  <c r="I8" i="4"/>
  <c r="J8" i="4"/>
  <c r="K8" i="4"/>
  <c r="L8" i="4"/>
  <c r="M8" i="4"/>
  <c r="F46" i="4"/>
  <c r="G46" i="4"/>
  <c r="H46" i="4"/>
  <c r="I46" i="4"/>
  <c r="J46" i="4"/>
  <c r="K46" i="4"/>
  <c r="L46" i="4"/>
  <c r="M46" i="4"/>
  <c r="F13" i="4"/>
  <c r="G13" i="4"/>
  <c r="H13" i="4"/>
  <c r="I13" i="4"/>
  <c r="J13" i="4"/>
  <c r="K13" i="4"/>
  <c r="L13" i="4"/>
  <c r="M13" i="4"/>
  <c r="F21" i="4"/>
  <c r="G21" i="4"/>
  <c r="H21" i="4"/>
  <c r="I21" i="4"/>
  <c r="J21" i="4"/>
  <c r="K21" i="4"/>
  <c r="L21" i="4"/>
  <c r="M21" i="4"/>
  <c r="F16" i="4"/>
  <c r="G16" i="4"/>
  <c r="H16" i="4"/>
  <c r="I16" i="4"/>
  <c r="J16" i="4"/>
  <c r="K16" i="4"/>
  <c r="L16" i="4"/>
  <c r="M16" i="4"/>
  <c r="F18" i="4"/>
  <c r="G18" i="4"/>
  <c r="H18" i="4"/>
  <c r="I18" i="4"/>
  <c r="J18" i="4"/>
  <c r="K18" i="4"/>
  <c r="L18" i="4"/>
  <c r="M18" i="4"/>
  <c r="F24" i="4"/>
  <c r="G24" i="4"/>
  <c r="H24" i="4"/>
  <c r="I24" i="4"/>
  <c r="J24" i="4"/>
  <c r="K24" i="4"/>
  <c r="L24" i="4"/>
  <c r="M24" i="4"/>
  <c r="F52" i="4"/>
  <c r="G52" i="4"/>
  <c r="H52" i="4"/>
  <c r="I52" i="4"/>
  <c r="J52" i="4"/>
  <c r="K52" i="4"/>
  <c r="L52" i="4"/>
  <c r="M52" i="4"/>
  <c r="F22" i="4"/>
  <c r="G22" i="4"/>
  <c r="H22" i="4"/>
  <c r="I22" i="4"/>
  <c r="J22" i="4"/>
  <c r="K22" i="4"/>
  <c r="L22" i="4"/>
  <c r="M22" i="4"/>
  <c r="F44" i="4"/>
  <c r="G44" i="4"/>
  <c r="H44" i="4"/>
  <c r="I44" i="4"/>
  <c r="J44" i="4"/>
  <c r="K44" i="4"/>
  <c r="L44" i="4"/>
  <c r="M4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55" i="4"/>
  <c r="G55" i="4"/>
  <c r="H55" i="4"/>
  <c r="I55" i="4"/>
  <c r="J55" i="4"/>
  <c r="K55" i="4"/>
  <c r="L55" i="4"/>
  <c r="M55" i="4"/>
  <c r="F58" i="4"/>
  <c r="G58" i="4"/>
  <c r="H58" i="4"/>
  <c r="I58" i="4"/>
  <c r="J58" i="4"/>
  <c r="K58" i="4"/>
  <c r="L58" i="4"/>
  <c r="M58" i="4"/>
  <c r="F11" i="4"/>
  <c r="G11" i="4"/>
  <c r="H11" i="4"/>
  <c r="I11" i="4"/>
  <c r="J11" i="4"/>
  <c r="K11" i="4"/>
  <c r="L11" i="4"/>
  <c r="M11" i="4"/>
  <c r="F28" i="4"/>
  <c r="G28" i="4"/>
  <c r="H28" i="4"/>
  <c r="I28" i="4"/>
  <c r="J28" i="4"/>
  <c r="K28" i="4"/>
  <c r="L28" i="4"/>
  <c r="M28" i="4"/>
  <c r="F51" i="4"/>
  <c r="G51" i="4"/>
  <c r="H51" i="4"/>
  <c r="I51" i="4"/>
  <c r="J51" i="4"/>
  <c r="K51" i="4"/>
  <c r="L51" i="4"/>
  <c r="M51" i="4"/>
  <c r="F53" i="4"/>
  <c r="G53" i="4"/>
  <c r="H53" i="4"/>
  <c r="I53" i="4"/>
  <c r="J53" i="4"/>
  <c r="K53" i="4"/>
  <c r="L53" i="4"/>
  <c r="M53" i="4"/>
  <c r="F49" i="4"/>
  <c r="G49" i="4"/>
  <c r="H49" i="4"/>
  <c r="I49" i="4"/>
  <c r="J49" i="4"/>
  <c r="K49" i="4"/>
  <c r="L49" i="4"/>
  <c r="M49" i="4"/>
  <c r="F20" i="4"/>
  <c r="G20" i="4"/>
  <c r="H20" i="4"/>
  <c r="I20" i="4"/>
  <c r="J20" i="4"/>
  <c r="K20" i="4"/>
  <c r="L20" i="4"/>
  <c r="M20" i="4"/>
  <c r="F30" i="4"/>
  <c r="G30" i="4"/>
  <c r="H30" i="4"/>
  <c r="I30" i="4"/>
  <c r="J30" i="4"/>
  <c r="K30" i="4"/>
  <c r="L30" i="4"/>
  <c r="M30" i="4"/>
  <c r="F15" i="4"/>
  <c r="G15" i="4"/>
  <c r="H15" i="4"/>
  <c r="I15" i="4"/>
  <c r="J15" i="4"/>
  <c r="K15" i="4"/>
  <c r="L15" i="4"/>
  <c r="M15" i="4"/>
  <c r="F14" i="4"/>
  <c r="G14" i="4"/>
  <c r="H14" i="4"/>
  <c r="I14" i="4"/>
  <c r="J14" i="4"/>
  <c r="K14" i="4"/>
  <c r="L14" i="4"/>
  <c r="M14" i="4"/>
  <c r="F56" i="4"/>
  <c r="G56" i="4"/>
  <c r="H56" i="4"/>
  <c r="I56" i="4"/>
  <c r="J56" i="4"/>
  <c r="K56" i="4"/>
  <c r="L56" i="4"/>
  <c r="M56" i="4"/>
  <c r="F59" i="4"/>
  <c r="G59" i="4"/>
  <c r="H59" i="4"/>
  <c r="I59" i="4"/>
  <c r="J59" i="4"/>
  <c r="K59" i="4"/>
  <c r="L59" i="4"/>
  <c r="M59" i="4"/>
  <c r="F23" i="4"/>
  <c r="G23" i="4"/>
  <c r="H23" i="4"/>
  <c r="I23" i="4"/>
  <c r="J23" i="4"/>
  <c r="K23" i="4"/>
  <c r="L23" i="4"/>
  <c r="M23" i="4"/>
  <c r="F10" i="4"/>
  <c r="G10" i="4"/>
  <c r="H10" i="4"/>
  <c r="I10" i="4"/>
  <c r="J10" i="4"/>
  <c r="K10" i="4"/>
  <c r="L10" i="4"/>
  <c r="M10" i="4"/>
  <c r="F34" i="4"/>
  <c r="G34" i="4"/>
  <c r="H34" i="4"/>
  <c r="I34" i="4"/>
  <c r="J34" i="4"/>
  <c r="K34" i="4"/>
  <c r="L34" i="4"/>
  <c r="M34" i="4"/>
  <c r="F50" i="4"/>
  <c r="G50" i="4"/>
  <c r="H50" i="4"/>
  <c r="I50" i="4"/>
  <c r="J50" i="4"/>
  <c r="K50" i="4"/>
  <c r="L50" i="4"/>
  <c r="M50" i="4"/>
  <c r="F33" i="4"/>
  <c r="G33" i="4"/>
  <c r="H33" i="4"/>
  <c r="I33" i="4"/>
  <c r="J33" i="4"/>
  <c r="K33" i="4"/>
  <c r="L33" i="4"/>
  <c r="M33" i="4"/>
  <c r="F29" i="4"/>
  <c r="G29" i="4"/>
  <c r="H29" i="4"/>
  <c r="I29" i="4"/>
  <c r="J29" i="4"/>
  <c r="K29" i="4"/>
  <c r="L29" i="4"/>
  <c r="M29" i="4"/>
  <c r="F32" i="4"/>
  <c r="G32" i="4"/>
  <c r="H32" i="4"/>
  <c r="I32" i="4"/>
  <c r="J32" i="4"/>
  <c r="K32" i="4"/>
  <c r="L32" i="4"/>
  <c r="M32" i="4"/>
  <c r="F38" i="4"/>
  <c r="G38" i="4"/>
  <c r="H38" i="4"/>
  <c r="I38" i="4"/>
  <c r="J38" i="4"/>
  <c r="K38" i="4"/>
  <c r="L38" i="4"/>
  <c r="M38" i="4"/>
  <c r="F35" i="4"/>
  <c r="G35" i="4"/>
  <c r="H35" i="4"/>
  <c r="I35" i="4"/>
  <c r="J35" i="4"/>
  <c r="K35" i="4"/>
  <c r="L35" i="4"/>
  <c r="M35" i="4"/>
  <c r="F40" i="4"/>
  <c r="G40" i="4"/>
  <c r="H40" i="4"/>
  <c r="I40" i="4"/>
  <c r="J40" i="4"/>
  <c r="K40" i="4"/>
  <c r="L40" i="4"/>
  <c r="M40" i="4"/>
  <c r="M47" i="4"/>
  <c r="L47" i="4"/>
  <c r="K47" i="4"/>
  <c r="J47" i="4"/>
  <c r="I47" i="4"/>
  <c r="H47" i="4"/>
  <c r="G47" i="4"/>
  <c r="F47" i="4"/>
  <c r="E41" i="4"/>
  <c r="E9" i="4"/>
  <c r="E48" i="4"/>
  <c r="E37" i="4"/>
  <c r="E12" i="4"/>
  <c r="E39" i="4"/>
  <c r="E43" i="4"/>
  <c r="E27" i="4"/>
  <c r="E7" i="4"/>
  <c r="E42" i="4"/>
  <c r="E45" i="4"/>
  <c r="E8" i="4"/>
  <c r="E46" i="4"/>
  <c r="E13" i="4"/>
  <c r="E21" i="4"/>
  <c r="E16" i="4"/>
  <c r="E18" i="4"/>
  <c r="E24" i="4"/>
  <c r="E52" i="4"/>
  <c r="E22" i="4"/>
  <c r="E44" i="4"/>
  <c r="E25" i="4"/>
  <c r="E26" i="4"/>
  <c r="E55" i="4"/>
  <c r="E58" i="4"/>
  <c r="E11" i="4"/>
  <c r="E28" i="4"/>
  <c r="E51" i="4"/>
  <c r="E53" i="4"/>
  <c r="E49" i="4"/>
  <c r="E20" i="4"/>
  <c r="E30" i="4"/>
  <c r="E15" i="4"/>
  <c r="E14" i="4"/>
  <c r="E56" i="4"/>
  <c r="E59" i="4"/>
  <c r="E23" i="4"/>
  <c r="E10" i="4"/>
  <c r="E34" i="4"/>
  <c r="E50" i="4"/>
  <c r="E33" i="4"/>
  <c r="E29" i="4"/>
  <c r="E32" i="4"/>
  <c r="E38" i="4"/>
  <c r="E35" i="4"/>
  <c r="E40" i="4"/>
  <c r="E47" i="4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E62" i="1" l="1"/>
  <c r="F62" i="1"/>
  <c r="G62" i="1"/>
  <c r="H62" i="1"/>
  <c r="I62" i="1"/>
  <c r="J62" i="1"/>
  <c r="K62" i="1"/>
  <c r="L62" i="1"/>
  <c r="M62" i="1"/>
  <c r="D62" i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L61" i="4" l="1"/>
  <c r="M61" i="4"/>
  <c r="D61" i="4" l="1"/>
  <c r="E61" i="4" l="1"/>
  <c r="F61" i="4"/>
  <c r="G61" i="4"/>
  <c r="H61" i="4"/>
  <c r="I61" i="4"/>
  <c r="J61" i="4"/>
  <c r="K61" i="4"/>
</calcChain>
</file>

<file path=xl/sharedStrings.xml><?xml version="1.0" encoding="utf-8"?>
<sst xmlns="http://schemas.openxmlformats.org/spreadsheetml/2006/main" count="260" uniqueCount="199">
  <si>
    <t>№</t>
  </si>
  <si>
    <t>Үсгэн код</t>
  </si>
  <si>
    <t>Компанийн нэр</t>
  </si>
  <si>
    <t xml:space="preserve">Эргэлтийн хөрөнгө </t>
  </si>
  <si>
    <t>Эргэлтийн бус хөрөнгө</t>
  </si>
  <si>
    <t>Богино хугацаат өр төлбөр</t>
  </si>
  <si>
    <t>Нийт өр төлбөр</t>
  </si>
  <si>
    <t>Эздийн өмч</t>
  </si>
  <si>
    <t>TDB</t>
  </si>
  <si>
    <t>"ТИ ДИ БИ КАПИТАЛ ҮЦК" ХХК</t>
  </si>
  <si>
    <t>BDSC</t>
  </si>
  <si>
    <t>"БИ ДИ СЕК ҮЦК" ХК</t>
  </si>
  <si>
    <t>ARD</t>
  </si>
  <si>
    <t>"АРД КАПИТАЛ ГРУПП ҮЦК" ХХК</t>
  </si>
  <si>
    <t>GLMT</t>
  </si>
  <si>
    <t>"ГОЛОМТ КАПИТАЛ ҮЦК" ХХК</t>
  </si>
  <si>
    <t>BZIN</t>
  </si>
  <si>
    <t>"МИРЭ ЭССЭТ СЕКЬЮРИТИС МОНГОЛ ҮЦК" ХХК</t>
  </si>
  <si>
    <t>MNET</t>
  </si>
  <si>
    <t>"АРД СЕКЬЮРИТИЗ ҮЦК" ХХК</t>
  </si>
  <si>
    <t>ECM</t>
  </si>
  <si>
    <t>"ЕВРАЗИА КАПИТАЛ ХОЛДИНГ ҮЦК" ХК</t>
  </si>
  <si>
    <t>NSEC</t>
  </si>
  <si>
    <t>"НЭЙШНЛ СЕКЮРИТИС ҮЦК" ХХК</t>
  </si>
  <si>
    <t>DELG</t>
  </si>
  <si>
    <t>"ДЭЛГЭРХАНГАЙ СЕКЮРИТИЗ ҮЦК" ХХК</t>
  </si>
  <si>
    <t>CAPM</t>
  </si>
  <si>
    <t>"КАПИТАЛ МАРКЕТ КОРПОРАЦИ ҮЦК" ХХК</t>
  </si>
  <si>
    <t>STIN</t>
  </si>
  <si>
    <t>"СТАНДАРТ ИНВЕСТМЕНТ ҮЦК" ХХК</t>
  </si>
  <si>
    <t>MICC</t>
  </si>
  <si>
    <t>"ЭМ АЙ СИ СИ  ҮЦК" ХХК</t>
  </si>
  <si>
    <t>SGC</t>
  </si>
  <si>
    <t>"ЭС ЖИ КАПИТАЛ ҮЦК" ХХК</t>
  </si>
  <si>
    <t>ACE</t>
  </si>
  <si>
    <t>"АСЕ ЭНД Т КАПИТАЛ ҮЦК" ХХК</t>
  </si>
  <si>
    <t>NOVL</t>
  </si>
  <si>
    <t>"НОВЕЛ ИНВЕСТМЕНТ ҮЦК" ХХК</t>
  </si>
  <si>
    <t>BLAC</t>
  </si>
  <si>
    <t>"БЛЭКСТОУН ИНТЕРНЭЙШНЛ ҮЦК" ХХК</t>
  </si>
  <si>
    <t>BLMB</t>
  </si>
  <si>
    <t xml:space="preserve">"БЛҮМСБЮРИ СЕКЮРИТИЕС ҮЦК" ХХК </t>
  </si>
  <si>
    <t>ALTN</t>
  </si>
  <si>
    <t>"АЛТАН ХОРОМСОГ ҮЦК" ХХК</t>
  </si>
  <si>
    <t>BULG</t>
  </si>
  <si>
    <t>"БУЛГАН БРОКЕР ҮЦК" ХХК</t>
  </si>
  <si>
    <t>APS</t>
  </si>
  <si>
    <t>"АЗИА ПАСИФИК СЕКЬЮРИТИС ҮЦК" ХХК</t>
  </si>
  <si>
    <t>GDSC</t>
  </si>
  <si>
    <t>"ГҮҮДСЕК ҮЦК" ХХК</t>
  </si>
  <si>
    <t>BUMB</t>
  </si>
  <si>
    <t>"БУМБАТ-АЛТАЙ ҮЦК" ХХК</t>
  </si>
  <si>
    <t>MONG</t>
  </si>
  <si>
    <t>"МОНГОЛ СЕКЮРИТИЕС ҮЦК" ХК</t>
  </si>
  <si>
    <t>SECP</t>
  </si>
  <si>
    <t>"СИКАП  ҮЦК" ХХК</t>
  </si>
  <si>
    <t>MIBG</t>
  </si>
  <si>
    <t>"ЭМ АЙ БИ ЖИ ХХК ҮЦК"</t>
  </si>
  <si>
    <t>TNGR</t>
  </si>
  <si>
    <t>"ТЭНГЭР КАПИТАЛ  ҮЦК" ХХК</t>
  </si>
  <si>
    <t>TTOL</t>
  </si>
  <si>
    <t>HUN</t>
  </si>
  <si>
    <t>"ХҮННҮ ЭМПАЙР ҮЦК" ХХК</t>
  </si>
  <si>
    <t>ARGB</t>
  </si>
  <si>
    <t>"АРГАЙ БЭСТ ҮЦК" ХХК</t>
  </si>
  <si>
    <t>GATR</t>
  </si>
  <si>
    <t>"ГАЦУУРТ ТРЕЙД ҮЦК" ХХК</t>
  </si>
  <si>
    <t>FCX</t>
  </si>
  <si>
    <t>"ЭФ СИ ИКС ҮЦК" ХХК</t>
  </si>
  <si>
    <t>MSEC</t>
  </si>
  <si>
    <t>"МОНСЕК ҮЦК" ХХК</t>
  </si>
  <si>
    <t>BATS</t>
  </si>
  <si>
    <t>"БАТС ҮЦК" ХХК</t>
  </si>
  <si>
    <t>GAUL</t>
  </si>
  <si>
    <t>"ГАҮЛИ ҮЦК" ХХК</t>
  </si>
  <si>
    <t>GNDX</t>
  </si>
  <si>
    <t>"ГЕНДЕКС ҮЦК" ХХК</t>
  </si>
  <si>
    <t>TCHB</t>
  </si>
  <si>
    <t>"ТУЛГАТ ЧАНДМАНЬ БАЯН  ҮЦК" ХХК</t>
  </si>
  <si>
    <t>LFTI</t>
  </si>
  <si>
    <t>"ЛАЙФТАЙМ ИНВЕСТМЕНТ ҮЦК" ХХК</t>
  </si>
  <si>
    <t>MERG</t>
  </si>
  <si>
    <t>"МЭРГЭН САНАА ҮЦК" ХХК</t>
  </si>
  <si>
    <t>TABO</t>
  </si>
  <si>
    <t>"ТАВАН БОГД ҮЦК" ХХК</t>
  </si>
  <si>
    <t>ZRGD</t>
  </si>
  <si>
    <t>"ЗЭРГЭД ҮЦК" ХХК</t>
  </si>
  <si>
    <t>GDEV</t>
  </si>
  <si>
    <t>"ГРАНДДЕВЕЛОПМЕНТ ҮЦК" ХХК</t>
  </si>
  <si>
    <t>UNDR</t>
  </si>
  <si>
    <t>"ӨНДӨРХААН ИНВЕСТ ҮЦК" ХХК</t>
  </si>
  <si>
    <t>SANR</t>
  </si>
  <si>
    <t>"САНАР ҮЦК" ХХК</t>
  </si>
  <si>
    <t>MSDQ</t>
  </si>
  <si>
    <t>"МАСДАК ҮНЭТ ЦААСНЫ КОМПАНИ" ХХК</t>
  </si>
  <si>
    <t>DRBR</t>
  </si>
  <si>
    <t>"ДАРХАН БРОКЕР ҮЦК" ХХК</t>
  </si>
  <si>
    <t>BSK</t>
  </si>
  <si>
    <t>"БЛЮСКАЙ СЕКЬЮРИТИЗ ҮЦК" ХК</t>
  </si>
  <si>
    <t>DCF</t>
  </si>
  <si>
    <t>"ДИ СИ ЭФ" ХХК</t>
  </si>
  <si>
    <t>ZGB</t>
  </si>
  <si>
    <t>"ЗЭТ ЖИ БИ ҮЦК" ХХК</t>
  </si>
  <si>
    <t>Нийт</t>
  </si>
  <si>
    <t>Нийт хөрөнгө</t>
  </si>
  <si>
    <t>Total</t>
  </si>
  <si>
    <t>Company name</t>
  </si>
  <si>
    <t>Symbol</t>
  </si>
  <si>
    <t>Current asset</t>
  </si>
  <si>
    <t>Non-current assets</t>
  </si>
  <si>
    <t>Total asset</t>
  </si>
  <si>
    <t xml:space="preserve">Short-term debt </t>
  </si>
  <si>
    <t>Owner's Eqiuty</t>
  </si>
  <si>
    <t>Net income (or loss)</t>
  </si>
  <si>
    <t>BALANCE SHEET /by thousand MNT/</t>
  </si>
  <si>
    <t>INCOME STATEMENT /by thousand MNT/</t>
  </si>
  <si>
    <t>Ranked by Net income (or loss)</t>
  </si>
  <si>
    <t>Note:</t>
  </si>
  <si>
    <t>БАЛАНСЫН ҮЗҮҮЛЭЛТ /Мянган төгрөгөөр/</t>
  </si>
  <si>
    <t>Тайлант үеийн ашиг (алдагдал)</t>
  </si>
  <si>
    <t>Үндсэн үйл ажиллагааны мөнгөн орлого</t>
  </si>
  <si>
    <t>Үндсэн үйл ажиллагааны мөнгөн зарлага (-)</t>
  </si>
  <si>
    <t>Тайлант үеийн ашиг /алдагдал/-ийн үзүүлэлтээр жагсаав</t>
  </si>
  <si>
    <t>Total debt</t>
  </si>
  <si>
    <t>Үйл ажиллагааны орлого</t>
  </si>
  <si>
    <t>ОРЛОГЫН ТАЙЛАНГИЙН ҮЗҮҮЛЭЛТ /Мянган төгрөгөөр/</t>
  </si>
  <si>
    <t>МӨНГӨН ГҮЙЛГЭЭНИЙ ҮЗҮҮЛЭЛТ              /Мянган төгрөгөөр/</t>
  </si>
  <si>
    <t>CASH FLOW /by thousand MNT/</t>
  </si>
  <si>
    <t>Operating income</t>
  </si>
  <si>
    <t>SILS</t>
  </si>
  <si>
    <t>"СИЛВЭР ЛАЙТ СЕКЮРИТИЗ ҮЦК" ХХК</t>
  </si>
  <si>
    <t>"АПЕКС КАПИТАЛ ҮЦК" ХХК</t>
  </si>
  <si>
    <t>SILVER LIGHT SECURITIES</t>
  </si>
  <si>
    <t>Operating cash expense</t>
  </si>
  <si>
    <t>Operating cash income</t>
  </si>
  <si>
    <t>BDSEC</t>
  </si>
  <si>
    <t>NOVEL INVESTMENT</t>
  </si>
  <si>
    <t>TENGER CAPITAL</t>
  </si>
  <si>
    <t>GOLOMT CAPITAL</t>
  </si>
  <si>
    <t>MIRAE ASSET SECURITIES MONGOLIA</t>
  </si>
  <si>
    <t>ARD CAPITAL GROUP</t>
  </si>
  <si>
    <t>TDB CAPITAL</t>
  </si>
  <si>
    <t>STANDART INVESTMENT</t>
  </si>
  <si>
    <t>ARD SECURITIES</t>
  </si>
  <si>
    <t>GAULI</t>
  </si>
  <si>
    <t>MONSEC</t>
  </si>
  <si>
    <t>NATIONAL SECURITIES</t>
  </si>
  <si>
    <t>ASIA PACIFIC SECURITIES</t>
  </si>
  <si>
    <t>BUMBAT-ALTAI</t>
  </si>
  <si>
    <t>LIFETIME INVESTMENT</t>
  </si>
  <si>
    <t>DELGERKHANGAI SECURITIES</t>
  </si>
  <si>
    <t>ZERGED</t>
  </si>
  <si>
    <t>BULGAN BROKER</t>
  </si>
  <si>
    <t>BLOOMSBURY SECURITIES</t>
  </si>
  <si>
    <t>UNDURKHAAN INVEST</t>
  </si>
  <si>
    <t>TAVAN BOGD</t>
  </si>
  <si>
    <t>SECAP</t>
  </si>
  <si>
    <t>TULGAT CHANDMANI BAYAN</t>
  </si>
  <si>
    <t>EURASIA CAPITAL HOLDING</t>
  </si>
  <si>
    <t>BLACKSTONE INTERNATIONAL</t>
  </si>
  <si>
    <t>ALTAN KHOROMSOG</t>
  </si>
  <si>
    <t>SANAR</t>
  </si>
  <si>
    <t>DARKHAN BROKER</t>
  </si>
  <si>
    <t>CAPITAL MARKET CORPORATION</t>
  </si>
  <si>
    <t>MERGEN SANAA</t>
  </si>
  <si>
    <t>MONGOL SECURITIES</t>
  </si>
  <si>
    <t>GRANDDEVELOPMENT</t>
  </si>
  <si>
    <t>MASDAQ</t>
  </si>
  <si>
    <t>GENDEX</t>
  </si>
  <si>
    <t>ARGAI BEST</t>
  </si>
  <si>
    <t>BLUESKY SECURITIES</t>
  </si>
  <si>
    <t>GATSUURT TRADE</t>
  </si>
  <si>
    <t>ACE AND T CAPITAL</t>
  </si>
  <si>
    <t>GOODSEC</t>
  </si>
  <si>
    <t>SG CAPITAL</t>
  </si>
  <si>
    <t>HUNNU EMPIRE</t>
  </si>
  <si>
    <t>APEX CAPITAL</t>
  </si>
  <si>
    <t>CTRL</t>
  </si>
  <si>
    <t>INVC</t>
  </si>
  <si>
    <t>"ЦЕНТРАЛ СЕКЮРИТИЙЗ ҮЦК" ХХК</t>
  </si>
  <si>
    <t>"ИНВЕСКОР КАПИТАЛ ҮЦК" ХХК</t>
  </si>
  <si>
    <t>INVESCORE</t>
  </si>
  <si>
    <t>CENTRALSECURITIES</t>
  </si>
  <si>
    <t>As of June 30, 2019</t>
  </si>
  <si>
    <t xml:space="preserve">BRIEF FINANCIAL STATEMENTS FOR THE 2ND QUARTER OF FY2019
OF MEMBER COMPANIES </t>
  </si>
  <si>
    <t>МХБ-ИЙН ГИШҮҮН БРОКЕР ДИЛЕРИЙН КОМПАНИЙН 2020  ОНЫ 2-Р УЛИРЛЫН САНХҮҮГИЙН
ТАЙЛАНГИЙН ХУРААНГУЙ ҮЗҮҮЛЭЛТҮҮД</t>
  </si>
  <si>
    <t xml:space="preserve">2020 оны 7-р сарын 10-ны байдлаар </t>
  </si>
  <si>
    <t>"ДОМИКС ҮЦК" ХХК</t>
  </si>
  <si>
    <t>DOMI</t>
  </si>
  <si>
    <t>3684793.997.55</t>
  </si>
  <si>
    <t>Эх сурвалж: Гишүүн ҮЦК-иудын МХБ-д ирүүлсэн санхүүгийн тайлан</t>
  </si>
  <si>
    <t>"МОНГОЛ ХУВЬЦАА" ХХК</t>
  </si>
  <si>
    <t>MOHU</t>
  </si>
  <si>
    <t>RISM</t>
  </si>
  <si>
    <t>"РАЙНОС ИНВЕСТМЕНТ ҮЦК" ХХК</t>
  </si>
  <si>
    <t>DOMIX</t>
  </si>
  <si>
    <t>RHINOS INVESTMENT</t>
  </si>
  <si>
    <t>MONGOL KHUVITSAA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</si>
  <si>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>:  recived balance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</si>
</sst>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Alignment="1">
      <alignment vertical="center"/>
    </xf>
    <xf numFmtId="43" fontId="6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vertical="center" wrapText="1"/>
    </xf>
    <xf numFmtId="43" fontId="5" fillId="2" borderId="2" xfId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43" fontId="6" fillId="2" borderId="2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3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2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vertical="center" wrapText="1"/>
    </xf>
    <xf numFmtId="43" fontId="15" fillId="2" borderId="2" xfId="1" applyFont="1" applyFill="1" applyBorder="1" applyAlignment="1">
      <alignment horizontal="right" vertical="center"/>
    </xf>
    <xf numFmtId="0" fontId="15" fillId="2" borderId="2" xfId="0" applyNumberFormat="1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43" fontId="14" fillId="2" borderId="2" xfId="1" applyFont="1" applyFill="1" applyBorder="1" applyAlignment="1">
      <alignment horizontal="right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 wrapText="1"/>
    </xf>
    <xf numFmtId="43" fontId="14" fillId="2" borderId="0" xfId="1" applyFont="1" applyFill="1" applyBorder="1" applyAlignment="1">
      <alignment horizontal="center" vertical="center"/>
    </xf>
    <xf numFmtId="43" fontId="14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vertical="center" wrapText="1"/>
    </xf>
    <xf numFmtId="43" fontId="3" fillId="2" borderId="0" xfId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3" fillId="0" borderId="0" xfId="0" applyFont="1"/>
    <xf numFmtId="14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center"/>
    </xf>
    <xf numFmtId="43" fontId="15" fillId="2" borderId="2" xfId="1" applyFont="1" applyFill="1" applyBorder="1" applyAlignment="1" applyProtection="1">
      <alignment horizontal="center" vertical="center" wrapText="1"/>
    </xf>
    <xf numFmtId="43" fontId="15" fillId="2" borderId="2" xfId="1" applyFont="1" applyFill="1" applyBorder="1" applyAlignment="1" applyProtection="1">
      <alignment vertical="center" wrapText="1"/>
    </xf>
    <xf numFmtId="43" fontId="3" fillId="0" borderId="0" xfId="1" applyFont="1"/>
    <xf numFmtId="0" fontId="15" fillId="2" borderId="2" xfId="1" applyNumberFormat="1" applyFont="1" applyFill="1" applyBorder="1" applyAlignment="1" applyProtection="1">
      <alignment horizontal="center" vertical="center" wrapText="1"/>
    </xf>
    <xf numFmtId="43" fontId="3" fillId="0" borderId="2" xfId="1" applyFont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43" fontId="14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left" vertical="center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43" fontId="6" fillId="2" borderId="0" xfId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topLeftCell="A4" zoomScale="70" zoomScaleNormal="70" zoomScaleSheetLayoutView="70" zoomScalePageLayoutView="70" workbookViewId="0">
      <pane xSplit="3" ySplit="3" topLeftCell="F7" activePane="bottomRight" state="frozen"/>
      <selection activeCell="A4" sqref="A4"/>
      <selection pane="topRight" activeCell="D4" sqref="D4"/>
      <selection pane="bottomLeft" activeCell="A7" sqref="A7"/>
      <selection pane="bottomRight" activeCell="J4" sqref="J4:M4"/>
    </sheetView>
  </sheetViews>
  <sheetFormatPr defaultRowHeight="15" x14ac:dyDescent="0.25"/>
  <cols>
    <col min="1" max="1" width="6.140625" style="40" customWidth="1"/>
    <col min="2" max="2" width="9.42578125" style="40" customWidth="1"/>
    <col min="3" max="3" width="51.140625" style="40" customWidth="1"/>
    <col min="4" max="4" width="21.28515625" style="40" customWidth="1"/>
    <col min="5" max="5" width="23.85546875" style="40" bestFit="1" customWidth="1"/>
    <col min="6" max="6" width="20" style="40" customWidth="1"/>
    <col min="7" max="7" width="23.85546875" style="40" bestFit="1" customWidth="1"/>
    <col min="8" max="8" width="22.140625" style="40" bestFit="1" customWidth="1"/>
    <col min="9" max="9" width="21.7109375" style="40" customWidth="1"/>
    <col min="10" max="10" width="22.28515625" style="40" customWidth="1"/>
    <col min="11" max="12" width="22.85546875" style="40" customWidth="1"/>
    <col min="13" max="13" width="21.7109375" style="40" customWidth="1"/>
    <col min="14" max="14" width="12.42578125" style="40" bestFit="1" customWidth="1"/>
    <col min="15" max="15" width="9.140625" style="40"/>
    <col min="16" max="16" width="13.85546875" style="40" bestFit="1" customWidth="1"/>
    <col min="17" max="16384" width="9.140625" style="40"/>
  </cols>
  <sheetData>
    <row r="1" spans="1:14" ht="15" customHeight="1" x14ac:dyDescent="0.25">
      <c r="D1" s="41"/>
      <c r="E1" s="67" t="s">
        <v>185</v>
      </c>
      <c r="F1" s="67"/>
      <c r="G1" s="67"/>
      <c r="H1" s="67"/>
      <c r="I1" s="67"/>
      <c r="J1" s="42"/>
      <c r="K1" s="42"/>
      <c r="L1" s="42"/>
      <c r="M1" s="41"/>
    </row>
    <row r="2" spans="1:14" ht="15" customHeight="1" x14ac:dyDescent="0.25">
      <c r="C2" s="43"/>
      <c r="D2" s="43"/>
      <c r="E2" s="67"/>
      <c r="F2" s="67"/>
      <c r="G2" s="67"/>
      <c r="H2" s="67"/>
      <c r="I2" s="67"/>
      <c r="J2" s="42"/>
      <c r="K2" s="42"/>
      <c r="L2" s="42"/>
      <c r="M2" s="43"/>
    </row>
    <row r="3" spans="1:14" ht="15.75" x14ac:dyDescent="0.25">
      <c r="C3" s="43"/>
      <c r="D3" s="43"/>
      <c r="E3" s="44"/>
      <c r="F3" s="44"/>
      <c r="G3" s="44"/>
      <c r="H3" s="44"/>
      <c r="I3" s="43"/>
      <c r="J3" s="44"/>
      <c r="K3" s="44"/>
      <c r="L3" s="44"/>
      <c r="M3" s="43"/>
    </row>
    <row r="4" spans="1:14" ht="14.25" customHeight="1" x14ac:dyDescent="0.25">
      <c r="J4" s="69" t="s">
        <v>186</v>
      </c>
      <c r="K4" s="69"/>
      <c r="L4" s="69"/>
      <c r="M4" s="69"/>
    </row>
    <row r="5" spans="1:14" ht="37.5" customHeight="1" x14ac:dyDescent="0.25">
      <c r="A5" s="70" t="s">
        <v>0</v>
      </c>
      <c r="B5" s="70" t="s">
        <v>1</v>
      </c>
      <c r="C5" s="70" t="s">
        <v>2</v>
      </c>
      <c r="D5" s="71" t="s">
        <v>118</v>
      </c>
      <c r="E5" s="71"/>
      <c r="F5" s="71"/>
      <c r="G5" s="71"/>
      <c r="H5" s="71"/>
      <c r="I5" s="71"/>
      <c r="J5" s="73" t="s">
        <v>126</v>
      </c>
      <c r="K5" s="74"/>
      <c r="L5" s="72" t="s">
        <v>125</v>
      </c>
      <c r="M5" s="72"/>
    </row>
    <row r="6" spans="1:14" s="45" customFormat="1" ht="47.25" x14ac:dyDescent="0.25">
      <c r="A6" s="70"/>
      <c r="B6" s="70"/>
      <c r="C6" s="70"/>
      <c r="D6" s="37" t="s">
        <v>104</v>
      </c>
      <c r="E6" s="38" t="s">
        <v>3</v>
      </c>
      <c r="F6" s="38" t="s">
        <v>4</v>
      </c>
      <c r="G6" s="38" t="s">
        <v>5</v>
      </c>
      <c r="H6" s="38" t="s">
        <v>6</v>
      </c>
      <c r="I6" s="37" t="s">
        <v>7</v>
      </c>
      <c r="J6" s="38" t="s">
        <v>120</v>
      </c>
      <c r="K6" s="38" t="s">
        <v>121</v>
      </c>
      <c r="L6" s="38" t="s">
        <v>124</v>
      </c>
      <c r="M6" s="38" t="s">
        <v>119</v>
      </c>
    </row>
    <row r="7" spans="1:14" s="54" customFormat="1" x14ac:dyDescent="0.2">
      <c r="A7" s="29">
        <v>1</v>
      </c>
      <c r="B7" s="29" t="s">
        <v>48</v>
      </c>
      <c r="C7" s="30" t="s">
        <v>49</v>
      </c>
      <c r="D7" s="39">
        <v>2410709196.0900002</v>
      </c>
      <c r="E7" s="39">
        <v>2091296548.76</v>
      </c>
      <c r="F7" s="39">
        <v>319412647.32999998</v>
      </c>
      <c r="G7" s="31">
        <v>620664150.07000005</v>
      </c>
      <c r="H7" s="31">
        <v>779283538.16999996</v>
      </c>
      <c r="I7" s="31">
        <v>1631425657.9200001</v>
      </c>
      <c r="J7" s="31"/>
      <c r="K7" s="31"/>
      <c r="L7" s="31">
        <v>1141215092.4000001</v>
      </c>
      <c r="M7" s="39">
        <v>774246184.00999999</v>
      </c>
    </row>
    <row r="8" spans="1:14" s="54" customFormat="1" x14ac:dyDescent="0.2">
      <c r="A8" s="29">
        <f t="shared" ref="A8" si="0">A7+1</f>
        <v>2</v>
      </c>
      <c r="B8" s="29" t="s">
        <v>60</v>
      </c>
      <c r="C8" s="33" t="s">
        <v>131</v>
      </c>
      <c r="D8" s="39">
        <v>3779412799.0599999</v>
      </c>
      <c r="E8" s="39" t="s">
        <v>189</v>
      </c>
      <c r="F8" s="39">
        <v>94618801.510000005</v>
      </c>
      <c r="G8" s="31">
        <v>682797189.94000006</v>
      </c>
      <c r="H8" s="31">
        <v>682797189.94000006</v>
      </c>
      <c r="I8" s="31">
        <v>3096615609.1199999</v>
      </c>
      <c r="J8" s="31">
        <v>386394017.86000001</v>
      </c>
      <c r="K8" s="31">
        <v>1543426126.5699999</v>
      </c>
      <c r="L8" s="31">
        <v>329496794.50999999</v>
      </c>
      <c r="M8" s="39">
        <v>127375741.28</v>
      </c>
    </row>
    <row r="9" spans="1:14" s="54" customFormat="1" x14ac:dyDescent="0.2">
      <c r="A9" s="29">
        <f t="shared" ref="A9:A40" si="1">A8+1</f>
        <v>3</v>
      </c>
      <c r="B9" s="29" t="s">
        <v>16</v>
      </c>
      <c r="C9" s="46" t="s">
        <v>17</v>
      </c>
      <c r="D9" s="39">
        <v>453821943.02999997</v>
      </c>
      <c r="E9" s="39">
        <v>4418142503.8400002</v>
      </c>
      <c r="F9" s="39">
        <v>116679439.19</v>
      </c>
      <c r="G9" s="39">
        <v>9721953.5700000003</v>
      </c>
      <c r="H9" s="39">
        <v>9721953.5700000003</v>
      </c>
      <c r="I9" s="39">
        <v>4525099989.46</v>
      </c>
      <c r="J9" s="39">
        <v>348288577.38</v>
      </c>
      <c r="K9" s="39">
        <v>283024733.23000002</v>
      </c>
      <c r="L9" s="39">
        <v>248388666.00999999</v>
      </c>
      <c r="M9" s="39">
        <v>82876972.780000001</v>
      </c>
    </row>
    <row r="10" spans="1:14" s="54" customFormat="1" x14ac:dyDescent="0.2">
      <c r="A10" s="29">
        <f t="shared" si="1"/>
        <v>4</v>
      </c>
      <c r="B10" s="29" t="s">
        <v>32</v>
      </c>
      <c r="C10" s="30" t="s">
        <v>33</v>
      </c>
      <c r="D10" s="39">
        <v>632140315.86000001</v>
      </c>
      <c r="E10" s="39">
        <v>623257596.61000001</v>
      </c>
      <c r="F10" s="39">
        <v>8882719.25</v>
      </c>
      <c r="G10" s="31">
        <v>13881126.5</v>
      </c>
      <c r="H10" s="31">
        <v>13881126.5</v>
      </c>
      <c r="I10" s="31">
        <v>618259189.36000001</v>
      </c>
      <c r="J10" s="31">
        <v>28328181.629999999</v>
      </c>
      <c r="K10" s="63">
        <v>11325115.43</v>
      </c>
      <c r="L10" s="31">
        <v>82228181.629999995</v>
      </c>
      <c r="M10" s="39">
        <v>60769138.520000003</v>
      </c>
    </row>
    <row r="11" spans="1:14" s="54" customFormat="1" x14ac:dyDescent="0.2">
      <c r="A11" s="29">
        <f t="shared" si="1"/>
        <v>5</v>
      </c>
      <c r="B11" s="58" t="s">
        <v>69</v>
      </c>
      <c r="C11" s="59" t="s">
        <v>70</v>
      </c>
      <c r="D11" s="62">
        <v>424720074.66000003</v>
      </c>
      <c r="E11" s="39">
        <v>415020074.66000003</v>
      </c>
      <c r="F11" s="39">
        <v>9700000</v>
      </c>
      <c r="G11" s="31">
        <v>25030.85</v>
      </c>
      <c r="H11" s="31">
        <v>25030.85</v>
      </c>
      <c r="I11" s="31">
        <v>424695043.79000002</v>
      </c>
      <c r="J11" s="31">
        <v>74145824.939999998</v>
      </c>
      <c r="K11" s="31">
        <v>33103789.73</v>
      </c>
      <c r="L11" s="31">
        <v>74145824.939999998</v>
      </c>
      <c r="M11" s="39">
        <v>40956354.079999998</v>
      </c>
      <c r="N11" s="60"/>
    </row>
    <row r="12" spans="1:14" s="54" customFormat="1" x14ac:dyDescent="0.2">
      <c r="A12" s="29">
        <f t="shared" si="1"/>
        <v>6</v>
      </c>
      <c r="B12" s="29" t="s">
        <v>14</v>
      </c>
      <c r="C12" s="32" t="s">
        <v>15</v>
      </c>
      <c r="D12" s="39">
        <v>3061067312.21</v>
      </c>
      <c r="E12" s="39">
        <v>2978094812.5599999</v>
      </c>
      <c r="F12" s="39">
        <v>82972499.650000006</v>
      </c>
      <c r="G12" s="31">
        <v>1328654911.5699999</v>
      </c>
      <c r="H12" s="31">
        <v>1329108559.53</v>
      </c>
      <c r="I12" s="31">
        <v>1731958752.6800001</v>
      </c>
      <c r="J12" s="31">
        <v>617035969.35000002</v>
      </c>
      <c r="K12" s="31">
        <v>301695528.19</v>
      </c>
      <c r="L12" s="31">
        <v>517715248.64999998</v>
      </c>
      <c r="M12" s="39">
        <v>19760927.710000001</v>
      </c>
    </row>
    <row r="13" spans="1:14" s="54" customFormat="1" x14ac:dyDescent="0.2">
      <c r="A13" s="29">
        <f t="shared" si="1"/>
        <v>7</v>
      </c>
      <c r="B13" s="29" t="s">
        <v>85</v>
      </c>
      <c r="C13" s="30" t="s">
        <v>86</v>
      </c>
      <c r="D13" s="39">
        <v>118050909.65000001</v>
      </c>
      <c r="E13" s="39">
        <v>76826459.159999996</v>
      </c>
      <c r="F13" s="39">
        <v>41224450.490000002</v>
      </c>
      <c r="G13" s="31">
        <v>61516.85</v>
      </c>
      <c r="H13" s="31">
        <v>61516.85</v>
      </c>
      <c r="I13" s="31">
        <v>117989392.8</v>
      </c>
      <c r="J13" s="31">
        <v>42984755.579999998</v>
      </c>
      <c r="K13" s="31">
        <v>27444608.789999999</v>
      </c>
      <c r="L13" s="31">
        <v>42984755.579999998</v>
      </c>
      <c r="M13" s="39">
        <v>14561790.220000001</v>
      </c>
    </row>
    <row r="14" spans="1:14" s="54" customFormat="1" x14ac:dyDescent="0.2">
      <c r="A14" s="29">
        <f t="shared" si="1"/>
        <v>8</v>
      </c>
      <c r="B14" s="29" t="s">
        <v>95</v>
      </c>
      <c r="C14" s="30" t="s">
        <v>96</v>
      </c>
      <c r="D14" s="39">
        <v>99468819.709999993</v>
      </c>
      <c r="E14" s="39">
        <v>69462135.709999993</v>
      </c>
      <c r="F14" s="39">
        <v>30006684</v>
      </c>
      <c r="G14" s="31">
        <v>310781.93</v>
      </c>
      <c r="H14" s="31">
        <v>310781.93</v>
      </c>
      <c r="I14" s="31">
        <v>99158037.780000001</v>
      </c>
      <c r="J14" s="31">
        <v>32912294.079999998</v>
      </c>
      <c r="K14" s="31">
        <v>19395944.379999999</v>
      </c>
      <c r="L14" s="31">
        <v>32912294.079999998</v>
      </c>
      <c r="M14" s="39">
        <v>12623845.710000001</v>
      </c>
    </row>
    <row r="15" spans="1:14" s="54" customFormat="1" x14ac:dyDescent="0.2">
      <c r="A15" s="29">
        <f t="shared" si="1"/>
        <v>9</v>
      </c>
      <c r="B15" s="29" t="s">
        <v>61</v>
      </c>
      <c r="C15" s="30" t="s">
        <v>62</v>
      </c>
      <c r="D15" s="39">
        <v>283646533.17000002</v>
      </c>
      <c r="E15" s="39">
        <v>275719613.17000002</v>
      </c>
      <c r="F15" s="39">
        <v>7926920</v>
      </c>
      <c r="G15" s="31">
        <v>0</v>
      </c>
      <c r="H15" s="31">
        <v>0</v>
      </c>
      <c r="I15" s="31">
        <v>28366533.170000002</v>
      </c>
      <c r="J15" s="31">
        <v>57951378.450000003</v>
      </c>
      <c r="K15" s="31">
        <v>44904177.729999997</v>
      </c>
      <c r="L15" s="31">
        <v>55588153.43</v>
      </c>
      <c r="M15" s="39">
        <v>11803894.220000001</v>
      </c>
    </row>
    <row r="16" spans="1:14" s="54" customFormat="1" x14ac:dyDescent="0.2">
      <c r="A16" s="29">
        <f t="shared" si="1"/>
        <v>10</v>
      </c>
      <c r="B16" s="29" t="s">
        <v>91</v>
      </c>
      <c r="C16" s="30" t="s">
        <v>92</v>
      </c>
      <c r="D16" s="39">
        <v>125437784.70999999</v>
      </c>
      <c r="E16" s="39">
        <v>116786284.70999999</v>
      </c>
      <c r="F16" s="39">
        <v>8651500</v>
      </c>
      <c r="G16" s="31">
        <v>1415930.55</v>
      </c>
      <c r="H16" s="31">
        <v>1415930.55</v>
      </c>
      <c r="I16" s="31">
        <v>124021854.16</v>
      </c>
      <c r="J16" s="31">
        <v>37474864.659999996</v>
      </c>
      <c r="K16" s="31">
        <v>25563910</v>
      </c>
      <c r="L16" s="31">
        <v>37474864.659999996</v>
      </c>
      <c r="M16" s="39">
        <v>11647800.109999999</v>
      </c>
    </row>
    <row r="17" spans="1:14" s="54" customFormat="1" x14ac:dyDescent="0.2">
      <c r="A17" s="29">
        <f t="shared" si="1"/>
        <v>11</v>
      </c>
      <c r="B17" s="29" t="s">
        <v>188</v>
      </c>
      <c r="C17" s="30" t="s">
        <v>187</v>
      </c>
      <c r="D17" s="39">
        <v>134873972.24000001</v>
      </c>
      <c r="E17" s="39">
        <v>132529972.23999999</v>
      </c>
      <c r="F17" s="39">
        <v>2344000</v>
      </c>
      <c r="G17" s="31">
        <v>0</v>
      </c>
      <c r="H17" s="31">
        <v>0</v>
      </c>
      <c r="I17" s="31">
        <v>134873972.24000001</v>
      </c>
      <c r="J17" s="31">
        <v>31735158.399999999</v>
      </c>
      <c r="K17" s="31">
        <v>21761198.690000001</v>
      </c>
      <c r="L17" s="31">
        <v>31735158.399999999</v>
      </c>
      <c r="M17" s="39">
        <v>9826459.7100000009</v>
      </c>
    </row>
    <row r="18" spans="1:14" s="54" customFormat="1" ht="16.5" customHeight="1" x14ac:dyDescent="0.2">
      <c r="A18" s="29">
        <f t="shared" si="1"/>
        <v>12</v>
      </c>
      <c r="B18" s="29" t="s">
        <v>81</v>
      </c>
      <c r="C18" s="30" t="s">
        <v>82</v>
      </c>
      <c r="D18" s="39">
        <v>198018481.96000001</v>
      </c>
      <c r="E18" s="39">
        <v>113821971.95999999</v>
      </c>
      <c r="F18" s="39">
        <v>84196510</v>
      </c>
      <c r="G18" s="31">
        <v>123747.93</v>
      </c>
      <c r="H18" s="31">
        <v>123747.93</v>
      </c>
      <c r="I18" s="31">
        <v>197894734.03</v>
      </c>
      <c r="J18" s="31">
        <v>21564677.41</v>
      </c>
      <c r="K18" s="31">
        <v>11894123.42</v>
      </c>
      <c r="L18" s="31">
        <f>64177.41+20922900</f>
        <v>20987077.41</v>
      </c>
      <c r="M18" s="39">
        <v>9573848.4600000009</v>
      </c>
    </row>
    <row r="19" spans="1:14" s="54" customFormat="1" x14ac:dyDescent="0.2">
      <c r="A19" s="29">
        <f t="shared" si="1"/>
        <v>13</v>
      </c>
      <c r="B19" s="29" t="s">
        <v>193</v>
      </c>
      <c r="C19" s="30" t="s">
        <v>194</v>
      </c>
      <c r="D19" s="39">
        <v>519941951.75</v>
      </c>
      <c r="E19" s="39">
        <v>81526442.019999996</v>
      </c>
      <c r="F19" s="39">
        <v>438415509.73000002</v>
      </c>
      <c r="G19" s="31">
        <v>2860596.86</v>
      </c>
      <c r="H19" s="31">
        <v>18781396.859999999</v>
      </c>
      <c r="I19" s="31">
        <v>501160554.88999999</v>
      </c>
      <c r="J19" s="31">
        <v>135232557.43000001</v>
      </c>
      <c r="K19" s="31">
        <v>144218159.50999999</v>
      </c>
      <c r="L19" s="31">
        <v>146222776.31</v>
      </c>
      <c r="M19" s="39">
        <v>6720948.0099999998</v>
      </c>
      <c r="N19" s="66"/>
    </row>
    <row r="20" spans="1:14" s="54" customFormat="1" x14ac:dyDescent="0.2">
      <c r="A20" s="29">
        <f t="shared" si="1"/>
        <v>14</v>
      </c>
      <c r="B20" s="29" t="s">
        <v>79</v>
      </c>
      <c r="C20" s="30" t="s">
        <v>80</v>
      </c>
      <c r="D20" s="39">
        <v>1202893125</v>
      </c>
      <c r="E20" s="39">
        <v>1197893125</v>
      </c>
      <c r="F20" s="39">
        <v>5000000</v>
      </c>
      <c r="G20" s="31">
        <v>18000000</v>
      </c>
      <c r="H20" s="31">
        <v>18000000</v>
      </c>
      <c r="I20" s="31">
        <v>1184893125</v>
      </c>
      <c r="J20" s="31">
        <v>26599519</v>
      </c>
      <c r="K20" s="31">
        <v>24325093</v>
      </c>
      <c r="L20" s="31">
        <v>26604199</v>
      </c>
      <c r="M20" s="39">
        <v>5050231</v>
      </c>
    </row>
    <row r="21" spans="1:14" s="54" customFormat="1" x14ac:dyDescent="0.2">
      <c r="A21" s="29">
        <f t="shared" si="1"/>
        <v>15</v>
      </c>
      <c r="B21" s="29" t="s">
        <v>77</v>
      </c>
      <c r="C21" s="30" t="s">
        <v>78</v>
      </c>
      <c r="D21" s="39">
        <v>135421748.63999999</v>
      </c>
      <c r="E21" s="39">
        <v>104008123.64</v>
      </c>
      <c r="F21" s="39">
        <v>31413625</v>
      </c>
      <c r="G21" s="31">
        <v>0</v>
      </c>
      <c r="H21" s="31">
        <v>0</v>
      </c>
      <c r="I21" s="31">
        <v>135421748.63999999</v>
      </c>
      <c r="J21" s="31">
        <v>28663429.489999998</v>
      </c>
      <c r="K21" s="31">
        <v>23738627</v>
      </c>
      <c r="L21" s="31">
        <v>9469629.4900000002</v>
      </c>
      <c r="M21" s="39">
        <v>5038345.93</v>
      </c>
    </row>
    <row r="22" spans="1:14" s="54" customFormat="1" x14ac:dyDescent="0.2">
      <c r="A22" s="29">
        <f t="shared" si="1"/>
        <v>16</v>
      </c>
      <c r="B22" s="29" t="s">
        <v>89</v>
      </c>
      <c r="C22" s="47" t="s">
        <v>90</v>
      </c>
      <c r="D22" s="39">
        <v>122124504.14</v>
      </c>
      <c r="E22" s="39">
        <v>114570204.14</v>
      </c>
      <c r="F22" s="39">
        <v>7554300</v>
      </c>
      <c r="G22" s="31">
        <v>738139.04</v>
      </c>
      <c r="H22" s="31">
        <v>738139.04</v>
      </c>
      <c r="I22" s="31">
        <v>121386365.09999999</v>
      </c>
      <c r="J22" s="31">
        <v>79451010</v>
      </c>
      <c r="K22" s="31">
        <v>62079000</v>
      </c>
      <c r="L22" s="31">
        <v>79451010</v>
      </c>
      <c r="M22" s="39">
        <v>1944009</v>
      </c>
      <c r="N22" s="65"/>
    </row>
    <row r="23" spans="1:14" s="54" customFormat="1" x14ac:dyDescent="0.2">
      <c r="A23" s="29">
        <f t="shared" si="1"/>
        <v>17</v>
      </c>
      <c r="B23" s="29" t="s">
        <v>12</v>
      </c>
      <c r="C23" s="30" t="s">
        <v>13</v>
      </c>
      <c r="D23" s="39">
        <v>5721080944.7299995</v>
      </c>
      <c r="E23" s="39">
        <v>5689976745.9200001</v>
      </c>
      <c r="F23" s="39">
        <v>31104198.82</v>
      </c>
      <c r="G23" s="31">
        <v>4218115444.3000002</v>
      </c>
      <c r="H23" s="31">
        <v>421811544.30000001</v>
      </c>
      <c r="I23" s="31">
        <v>1502965500.4300001</v>
      </c>
      <c r="J23" s="31">
        <v>143618332.43000001</v>
      </c>
      <c r="K23" s="31">
        <v>934609902.48000002</v>
      </c>
      <c r="L23" s="31">
        <v>141133465.80000001</v>
      </c>
      <c r="M23" s="39">
        <v>996936.7</v>
      </c>
    </row>
    <row r="24" spans="1:14" s="54" customFormat="1" x14ac:dyDescent="0.2">
      <c r="A24" s="29">
        <f t="shared" si="1"/>
        <v>18</v>
      </c>
      <c r="B24" s="29" t="s">
        <v>44</v>
      </c>
      <c r="C24" s="30" t="s">
        <v>45</v>
      </c>
      <c r="D24" s="39">
        <v>443632508.81999999</v>
      </c>
      <c r="E24" s="39">
        <v>291872780.81999999</v>
      </c>
      <c r="F24" s="39">
        <v>151759728</v>
      </c>
      <c r="G24" s="31">
        <v>3613383.75</v>
      </c>
      <c r="H24" s="31">
        <v>443632508.81999999</v>
      </c>
      <c r="I24" s="31">
        <v>425519125.06999999</v>
      </c>
      <c r="J24" s="31">
        <v>14074119.109999999</v>
      </c>
      <c r="K24" s="31">
        <v>11241789.220000001</v>
      </c>
      <c r="L24" s="31">
        <v>4114289.11</v>
      </c>
      <c r="M24" s="39">
        <v>365804.89</v>
      </c>
      <c r="N24" s="55"/>
    </row>
    <row r="25" spans="1:14" s="54" customFormat="1" x14ac:dyDescent="0.2">
      <c r="A25" s="29">
        <f t="shared" si="1"/>
        <v>19</v>
      </c>
      <c r="B25" s="29" t="s">
        <v>93</v>
      </c>
      <c r="C25" s="30" t="s">
        <v>94</v>
      </c>
      <c r="D25" s="39">
        <f>132783.7*1000</f>
        <v>132783700.00000001</v>
      </c>
      <c r="E25" s="39">
        <f>112947.8*1000</f>
        <v>112947800</v>
      </c>
      <c r="F25" s="39">
        <f>19835.9*1000</f>
        <v>19835900</v>
      </c>
      <c r="G25" s="31">
        <f>2279.9*1000</f>
        <v>2279900</v>
      </c>
      <c r="H25" s="31">
        <f>2279.9*1000</f>
        <v>2279900</v>
      </c>
      <c r="I25" s="31">
        <f>130503.8*1000</f>
        <v>130503800</v>
      </c>
      <c r="J25" s="31">
        <f>64590.5*1000</f>
        <v>64590500</v>
      </c>
      <c r="K25" s="31">
        <f>10255.7*1000</f>
        <v>10255700</v>
      </c>
      <c r="L25" s="31">
        <f>12196.4*1000</f>
        <v>12196400</v>
      </c>
      <c r="M25" s="39">
        <f>236.3*1000</f>
        <v>236300</v>
      </c>
    </row>
    <row r="26" spans="1:14" s="54" customFormat="1" x14ac:dyDescent="0.2">
      <c r="A26" s="29">
        <f t="shared" si="1"/>
        <v>20</v>
      </c>
      <c r="B26" s="29" t="s">
        <v>83</v>
      </c>
      <c r="C26" s="30" t="s">
        <v>84</v>
      </c>
      <c r="D26" s="39">
        <v>145634725.34</v>
      </c>
      <c r="E26" s="39">
        <v>136283216.34</v>
      </c>
      <c r="F26" s="39">
        <v>9351509</v>
      </c>
      <c r="G26" s="31">
        <v>17007.150000000001</v>
      </c>
      <c r="H26" s="31">
        <v>17007.150000000001</v>
      </c>
      <c r="I26" s="31">
        <v>145617718.19</v>
      </c>
      <c r="J26" s="31">
        <v>28273719.260000002</v>
      </c>
      <c r="K26" s="31">
        <v>28940760.399999999</v>
      </c>
      <c r="L26" s="31">
        <v>28273719.260000002</v>
      </c>
      <c r="M26" s="39">
        <v>153064.32999999999</v>
      </c>
    </row>
    <row r="27" spans="1:14" s="54" customFormat="1" x14ac:dyDescent="0.2">
      <c r="A27" s="29">
        <f t="shared" si="1"/>
        <v>21</v>
      </c>
      <c r="B27" s="29" t="s">
        <v>56</v>
      </c>
      <c r="C27" s="30" t="s">
        <v>57</v>
      </c>
      <c r="D27" s="39">
        <v>280968974.83999997</v>
      </c>
      <c r="E27" s="39">
        <v>280968974.83999997</v>
      </c>
      <c r="F27" s="39">
        <v>0</v>
      </c>
      <c r="G27" s="31">
        <v>91431156.700000003</v>
      </c>
      <c r="H27" s="31">
        <v>91431156.700000003</v>
      </c>
      <c r="I27" s="31">
        <v>189537818.13999999</v>
      </c>
      <c r="J27" s="31">
        <v>13435276.789999999</v>
      </c>
      <c r="K27" s="31">
        <v>18445061.34</v>
      </c>
      <c r="L27" s="31">
        <v>11603835.5</v>
      </c>
      <c r="M27" s="39">
        <v>-905966.25</v>
      </c>
    </row>
    <row r="28" spans="1:14" s="54" customFormat="1" x14ac:dyDescent="0.2">
      <c r="A28" s="29">
        <f t="shared" si="1"/>
        <v>22</v>
      </c>
      <c r="B28" s="29" t="s">
        <v>46</v>
      </c>
      <c r="C28" s="30" t="s">
        <v>47</v>
      </c>
      <c r="D28" s="39"/>
      <c r="E28" s="39"/>
      <c r="F28" s="39">
        <v>381815264.77999997</v>
      </c>
      <c r="G28" s="31">
        <v>465240932.5</v>
      </c>
      <c r="H28" s="31">
        <v>465240932.5</v>
      </c>
      <c r="I28" s="31">
        <v>-83425667.700000003</v>
      </c>
      <c r="J28" s="31">
        <v>3130710.41</v>
      </c>
      <c r="K28" s="31">
        <v>6402881.9800000004</v>
      </c>
      <c r="L28" s="31">
        <v>3074074.55</v>
      </c>
      <c r="M28" s="39">
        <v>-1675953.69</v>
      </c>
    </row>
    <row r="29" spans="1:14" s="54" customFormat="1" x14ac:dyDescent="0.2">
      <c r="A29" s="29">
        <f t="shared" si="1"/>
        <v>23</v>
      </c>
      <c r="B29" s="29" t="s">
        <v>97</v>
      </c>
      <c r="C29" s="30" t="s">
        <v>98</v>
      </c>
      <c r="D29" s="39">
        <v>680113387.11000001</v>
      </c>
      <c r="E29" s="39">
        <v>438706044.25999999</v>
      </c>
      <c r="F29" s="39">
        <v>241407342.84999999</v>
      </c>
      <c r="G29" s="39">
        <v>306362652.42000002</v>
      </c>
      <c r="H29" s="39">
        <v>306362652.42000002</v>
      </c>
      <c r="I29" s="39">
        <v>373750734.68000001</v>
      </c>
      <c r="J29" s="39">
        <v>39601383.119999997</v>
      </c>
      <c r="K29" s="39">
        <v>38119344.369999997</v>
      </c>
      <c r="L29" s="39">
        <v>39601383.119999997</v>
      </c>
      <c r="M29" s="39">
        <v>-1857704.38</v>
      </c>
    </row>
    <row r="30" spans="1:14" s="54" customFormat="1" x14ac:dyDescent="0.2">
      <c r="A30" s="29">
        <f t="shared" si="1"/>
        <v>24</v>
      </c>
      <c r="B30" s="29" t="s">
        <v>42</v>
      </c>
      <c r="C30" s="30" t="s">
        <v>43</v>
      </c>
      <c r="D30" s="39">
        <v>669929948.69000006</v>
      </c>
      <c r="E30" s="39">
        <v>668929948.69000006</v>
      </c>
      <c r="F30" s="39">
        <v>1000000</v>
      </c>
      <c r="G30" s="31">
        <v>210948300.19</v>
      </c>
      <c r="H30" s="31">
        <v>226765965.09999999</v>
      </c>
      <c r="I30" s="31">
        <v>443163983.58999997</v>
      </c>
      <c r="J30" s="31">
        <v>760972.98</v>
      </c>
      <c r="K30" s="31">
        <v>3971479.34</v>
      </c>
      <c r="L30" s="31">
        <v>430000</v>
      </c>
      <c r="M30" s="39">
        <v>-8050571.7599999998</v>
      </c>
    </row>
    <row r="31" spans="1:14" s="54" customFormat="1" x14ac:dyDescent="0.2">
      <c r="A31" s="29">
        <f t="shared" si="1"/>
        <v>25</v>
      </c>
      <c r="B31" s="29" t="s">
        <v>192</v>
      </c>
      <c r="C31" s="30" t="s">
        <v>191</v>
      </c>
      <c r="D31" s="39">
        <v>78474204</v>
      </c>
      <c r="E31" s="39">
        <v>76931710.040000007</v>
      </c>
      <c r="F31" s="39">
        <v>1542494</v>
      </c>
      <c r="G31" s="31">
        <v>15205169</v>
      </c>
      <c r="H31" s="31">
        <v>15205169</v>
      </c>
      <c r="I31" s="31">
        <v>63269035.039999999</v>
      </c>
      <c r="J31" s="31">
        <v>1399439.24</v>
      </c>
      <c r="K31" s="31">
        <v>4986394.3</v>
      </c>
      <c r="L31" s="31">
        <v>1399439.24</v>
      </c>
      <c r="M31" s="39">
        <v>-8476443.0600000005</v>
      </c>
      <c r="N31" s="65"/>
    </row>
    <row r="32" spans="1:14" s="54" customFormat="1" ht="15.75" customHeight="1" x14ac:dyDescent="0.2">
      <c r="A32" s="29">
        <f t="shared" si="1"/>
        <v>26</v>
      </c>
      <c r="B32" s="29" t="s">
        <v>38</v>
      </c>
      <c r="C32" s="30" t="s">
        <v>39</v>
      </c>
      <c r="D32" s="39">
        <v>367458668.69999999</v>
      </c>
      <c r="E32" s="39">
        <v>231447711.69999999</v>
      </c>
      <c r="F32" s="39">
        <v>136010957</v>
      </c>
      <c r="G32" s="39">
        <v>133314.44</v>
      </c>
      <c r="H32" s="39">
        <v>133314.44</v>
      </c>
      <c r="I32" s="39">
        <v>367325354.25999999</v>
      </c>
      <c r="J32" s="39">
        <v>10751546.550000001</v>
      </c>
      <c r="K32" s="39">
        <v>23232610.649999999</v>
      </c>
      <c r="L32" s="39">
        <v>1747946.55</v>
      </c>
      <c r="M32" s="39">
        <v>-8546664.0999999996</v>
      </c>
    </row>
    <row r="33" spans="1:16" s="54" customFormat="1" ht="16.5" customHeight="1" x14ac:dyDescent="0.2">
      <c r="A33" s="29">
        <f t="shared" si="1"/>
        <v>27</v>
      </c>
      <c r="B33" s="29" t="s">
        <v>67</v>
      </c>
      <c r="C33" s="30" t="s">
        <v>68</v>
      </c>
      <c r="D33" s="39">
        <v>368712284</v>
      </c>
      <c r="E33" s="39">
        <v>351450474</v>
      </c>
      <c r="F33" s="39">
        <v>17261810</v>
      </c>
      <c r="G33" s="39">
        <v>109544620</v>
      </c>
      <c r="H33" s="39">
        <v>109544620</v>
      </c>
      <c r="I33" s="39">
        <v>259167664</v>
      </c>
      <c r="J33" s="39">
        <v>352800</v>
      </c>
      <c r="K33" s="39">
        <v>11424040</v>
      </c>
      <c r="L33" s="39">
        <v>352800</v>
      </c>
      <c r="M33" s="39">
        <v>-10614600</v>
      </c>
    </row>
    <row r="34" spans="1:16" s="54" customFormat="1" x14ac:dyDescent="0.2">
      <c r="A34" s="29">
        <f t="shared" si="1"/>
        <v>28</v>
      </c>
      <c r="B34" s="29" t="s">
        <v>87</v>
      </c>
      <c r="C34" s="30" t="s">
        <v>88</v>
      </c>
      <c r="D34" s="39">
        <v>22458924.870000001</v>
      </c>
      <c r="E34" s="39">
        <v>18997124.870000001</v>
      </c>
      <c r="F34" s="39">
        <v>3461800</v>
      </c>
      <c r="G34" s="31">
        <v>2528233.2200000002</v>
      </c>
      <c r="H34" s="31">
        <v>2370197.2200000002</v>
      </c>
      <c r="I34" s="31">
        <v>20088727.649999999</v>
      </c>
      <c r="J34" s="31">
        <v>2290546.66</v>
      </c>
      <c r="K34" s="31">
        <v>11927132.939999999</v>
      </c>
      <c r="L34" s="31">
        <v>2109369.4900000002</v>
      </c>
      <c r="M34" s="39">
        <v>-11828535</v>
      </c>
    </row>
    <row r="35" spans="1:16" s="54" customFormat="1" x14ac:dyDescent="0.2">
      <c r="A35" s="29">
        <f t="shared" si="1"/>
        <v>29</v>
      </c>
      <c r="B35" s="29" t="s">
        <v>54</v>
      </c>
      <c r="C35" s="30" t="s">
        <v>55</v>
      </c>
      <c r="D35" s="39">
        <v>1382974119.1199999</v>
      </c>
      <c r="E35" s="39">
        <v>1374262245.02</v>
      </c>
      <c r="F35" s="39">
        <v>8711874.0999999996</v>
      </c>
      <c r="G35" s="39">
        <v>0</v>
      </c>
      <c r="H35" s="39">
        <v>0</v>
      </c>
      <c r="I35" s="39">
        <v>1382974119.1199999</v>
      </c>
      <c r="J35" s="39">
        <v>30996490</v>
      </c>
      <c r="K35" s="39">
        <v>39302399.060000002</v>
      </c>
      <c r="L35" s="39">
        <v>30996490</v>
      </c>
      <c r="M35" s="39">
        <v>-18614552</v>
      </c>
    </row>
    <row r="36" spans="1:16" s="54" customFormat="1" x14ac:dyDescent="0.2">
      <c r="A36" s="29">
        <f t="shared" si="1"/>
        <v>30</v>
      </c>
      <c r="B36" s="29" t="s">
        <v>178</v>
      </c>
      <c r="C36" s="30" t="s">
        <v>180</v>
      </c>
      <c r="D36" s="39">
        <v>1610599241.1500001</v>
      </c>
      <c r="E36" s="39">
        <v>1592931641.22</v>
      </c>
      <c r="F36" s="39">
        <v>17667599.93</v>
      </c>
      <c r="G36" s="39">
        <v>79073416.790000007</v>
      </c>
      <c r="H36" s="39">
        <v>79073416.790000007</v>
      </c>
      <c r="I36" s="39">
        <v>1531525824.3599999</v>
      </c>
      <c r="J36" s="39">
        <v>117275287.06</v>
      </c>
      <c r="K36" s="39">
        <v>331870233.19</v>
      </c>
      <c r="L36" s="39">
        <v>22243513.649999999</v>
      </c>
      <c r="M36" s="39">
        <v>-61839420.060000002</v>
      </c>
    </row>
    <row r="37" spans="1:16" s="54" customFormat="1" x14ac:dyDescent="0.2">
      <c r="A37" s="29">
        <f t="shared" si="1"/>
        <v>31</v>
      </c>
      <c r="B37" s="29" t="s">
        <v>58</v>
      </c>
      <c r="C37" s="30" t="s">
        <v>59</v>
      </c>
      <c r="D37" s="39">
        <v>383841576.32999998</v>
      </c>
      <c r="E37" s="39">
        <v>373314625.63</v>
      </c>
      <c r="F37" s="39">
        <v>10526950.699999999</v>
      </c>
      <c r="G37" s="31">
        <v>8655256.3599999994</v>
      </c>
      <c r="H37" s="31">
        <v>8655256.3599999994</v>
      </c>
      <c r="I37" s="31">
        <v>375186319.97000003</v>
      </c>
      <c r="J37" s="31">
        <v>288199262.80000001</v>
      </c>
      <c r="K37" s="31">
        <v>104048762.23</v>
      </c>
      <c r="L37" s="31">
        <v>3928138.48</v>
      </c>
      <c r="M37" s="39">
        <v>-78332443.709999993</v>
      </c>
    </row>
    <row r="38" spans="1:16" s="54" customFormat="1" x14ac:dyDescent="0.2">
      <c r="A38" s="29">
        <f t="shared" si="1"/>
        <v>32</v>
      </c>
      <c r="B38" s="29" t="s">
        <v>18</v>
      </c>
      <c r="C38" s="30" t="s">
        <v>19</v>
      </c>
      <c r="D38" s="39">
        <v>3228172249.7600002</v>
      </c>
      <c r="E38" s="39">
        <v>2972434582.1999998</v>
      </c>
      <c r="F38" s="39">
        <v>255737667.56</v>
      </c>
      <c r="G38" s="39">
        <v>865779470.49000001</v>
      </c>
      <c r="H38" s="39">
        <v>948081833.28999996</v>
      </c>
      <c r="I38" s="39">
        <v>2280090416.4699998</v>
      </c>
      <c r="J38" s="39">
        <v>434708758.37</v>
      </c>
      <c r="K38" s="39">
        <v>427001622.69999999</v>
      </c>
      <c r="L38" s="39">
        <v>293043148.69</v>
      </c>
      <c r="M38" s="39">
        <v>-78761747.980000004</v>
      </c>
    </row>
    <row r="39" spans="1:16" s="60" customFormat="1" x14ac:dyDescent="0.2">
      <c r="A39" s="61">
        <f t="shared" si="1"/>
        <v>33</v>
      </c>
      <c r="B39" s="29" t="s">
        <v>28</v>
      </c>
      <c r="C39" s="30" t="s">
        <v>29</v>
      </c>
      <c r="D39" s="48">
        <v>858042893.38</v>
      </c>
      <c r="E39" s="39">
        <v>347425325.02999997</v>
      </c>
      <c r="F39" s="39">
        <v>50617568.350000001</v>
      </c>
      <c r="G39" s="31">
        <v>39659252.859999999</v>
      </c>
      <c r="H39" s="31">
        <v>39659252.859999999</v>
      </c>
      <c r="I39" s="31">
        <v>818383640.51999998</v>
      </c>
      <c r="J39" s="31">
        <v>65253449.670000002</v>
      </c>
      <c r="K39" s="31">
        <v>58567375.82</v>
      </c>
      <c r="L39" s="31">
        <v>57790834.409999996</v>
      </c>
      <c r="M39" s="39">
        <v>-125474168.81999999</v>
      </c>
      <c r="N39" s="54"/>
    </row>
    <row r="40" spans="1:16" s="54" customFormat="1" x14ac:dyDescent="0.2">
      <c r="A40" s="29">
        <f t="shared" si="1"/>
        <v>34</v>
      </c>
      <c r="B40" s="29" t="s">
        <v>20</v>
      </c>
      <c r="C40" s="30" t="s">
        <v>21</v>
      </c>
      <c r="D40" s="39">
        <v>1168794585.0799999</v>
      </c>
      <c r="E40" s="39">
        <v>1147940772.45</v>
      </c>
      <c r="F40" s="39">
        <v>20853812.629999999</v>
      </c>
      <c r="G40" s="39">
        <v>422923968.88</v>
      </c>
      <c r="H40" s="39">
        <v>1071967100.55</v>
      </c>
      <c r="I40" s="39">
        <v>96827484.530000001</v>
      </c>
      <c r="J40" s="39">
        <v>819587900.02999997</v>
      </c>
      <c r="K40" s="39">
        <v>112221407.42</v>
      </c>
      <c r="L40" s="39">
        <v>700587900.02999997</v>
      </c>
      <c r="M40" s="39">
        <v>-1088639206.48</v>
      </c>
    </row>
    <row r="41" spans="1:16" s="54" customFormat="1" x14ac:dyDescent="0.2">
      <c r="A41" s="29">
        <f t="shared" ref="A41:A61" si="2">A40+1</f>
        <v>35</v>
      </c>
      <c r="B41" s="29" t="s">
        <v>8</v>
      </c>
      <c r="C41" s="30" t="s">
        <v>9</v>
      </c>
      <c r="D41" s="39">
        <v>29749995103.990002</v>
      </c>
      <c r="E41" s="39">
        <v>28213866810.77</v>
      </c>
      <c r="F41" s="39">
        <v>1536128293.22</v>
      </c>
      <c r="G41" s="39">
        <v>9697769984.8400002</v>
      </c>
      <c r="H41" s="39">
        <v>10288398326.709999</v>
      </c>
      <c r="I41" s="39">
        <v>19461596777.279999</v>
      </c>
      <c r="J41" s="39">
        <v>748615160.78999996</v>
      </c>
      <c r="K41" s="39">
        <v>878108116.44000006</v>
      </c>
      <c r="L41" s="39">
        <v>-3272532121.4699998</v>
      </c>
      <c r="M41" s="39">
        <v>-3501132235.5599999</v>
      </c>
    </row>
    <row r="42" spans="1:16" s="54" customFormat="1" x14ac:dyDescent="0.2">
      <c r="A42" s="29">
        <f t="shared" si="2"/>
        <v>36</v>
      </c>
      <c r="B42" s="29" t="s">
        <v>63</v>
      </c>
      <c r="C42" s="30" t="s">
        <v>64</v>
      </c>
      <c r="D42" s="39"/>
      <c r="E42" s="39"/>
      <c r="F42" s="39"/>
      <c r="G42" s="31"/>
      <c r="H42" s="31"/>
      <c r="I42" s="31"/>
      <c r="J42" s="31"/>
      <c r="K42" s="64"/>
      <c r="L42" s="31"/>
      <c r="M42" s="39"/>
    </row>
    <row r="43" spans="1:16" s="54" customFormat="1" x14ac:dyDescent="0.2">
      <c r="A43" s="29">
        <f t="shared" si="2"/>
        <v>37</v>
      </c>
      <c r="B43" s="29" t="s">
        <v>34</v>
      </c>
      <c r="C43" s="30" t="s">
        <v>35</v>
      </c>
      <c r="D43" s="39"/>
      <c r="E43" s="39"/>
      <c r="F43" s="39"/>
      <c r="G43" s="31"/>
      <c r="H43" s="31"/>
      <c r="I43" s="31"/>
      <c r="J43" s="31"/>
      <c r="K43" s="31"/>
      <c r="L43" s="31"/>
      <c r="M43" s="39"/>
    </row>
    <row r="44" spans="1:16" s="54" customFormat="1" x14ac:dyDescent="0.2">
      <c r="A44" s="29">
        <f t="shared" si="2"/>
        <v>38</v>
      </c>
      <c r="B44" s="29" t="s">
        <v>71</v>
      </c>
      <c r="C44" s="30" t="s">
        <v>72</v>
      </c>
      <c r="D44" s="39"/>
      <c r="E44" s="39"/>
      <c r="F44" s="39"/>
      <c r="G44" s="31"/>
      <c r="H44" s="31"/>
      <c r="I44" s="31"/>
      <c r="J44" s="31"/>
      <c r="K44" s="31"/>
      <c r="L44" s="31"/>
      <c r="M44" s="39"/>
    </row>
    <row r="45" spans="1:16" s="54" customFormat="1" x14ac:dyDescent="0.2">
      <c r="A45" s="29">
        <f t="shared" si="2"/>
        <v>39</v>
      </c>
      <c r="B45" s="29" t="s">
        <v>10</v>
      </c>
      <c r="C45" s="30" t="s">
        <v>11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6" s="54" customFormat="1" x14ac:dyDescent="0.2">
      <c r="A46" s="29">
        <f t="shared" si="2"/>
        <v>40</v>
      </c>
      <c r="B46" s="29" t="s">
        <v>40</v>
      </c>
      <c r="C46" s="30" t="s">
        <v>41</v>
      </c>
      <c r="D46" s="39"/>
      <c r="E46" s="39"/>
      <c r="F46" s="39"/>
      <c r="G46" s="31"/>
      <c r="H46" s="31"/>
      <c r="I46" s="31"/>
      <c r="J46" s="31"/>
      <c r="K46" s="31"/>
      <c r="L46" s="31"/>
      <c r="M46" s="39"/>
    </row>
    <row r="47" spans="1:16" s="54" customFormat="1" x14ac:dyDescent="0.2">
      <c r="A47" s="29">
        <f t="shared" si="2"/>
        <v>41</v>
      </c>
      <c r="B47" s="29" t="s">
        <v>50</v>
      </c>
      <c r="C47" s="30" t="s">
        <v>51</v>
      </c>
      <c r="D47" s="39"/>
      <c r="E47" s="39"/>
      <c r="F47" s="39"/>
      <c r="G47" s="31"/>
      <c r="H47" s="31"/>
      <c r="I47" s="31"/>
      <c r="J47" s="31"/>
      <c r="K47" s="31"/>
      <c r="L47" s="31"/>
      <c r="M47" s="39"/>
      <c r="P47" s="56"/>
    </row>
    <row r="48" spans="1:16" s="54" customFormat="1" x14ac:dyDescent="0.2">
      <c r="A48" s="29">
        <f t="shared" si="2"/>
        <v>42</v>
      </c>
      <c r="B48" s="29" t="s">
        <v>73</v>
      </c>
      <c r="C48" s="30" t="s">
        <v>74</v>
      </c>
      <c r="D48" s="39"/>
      <c r="E48" s="39"/>
      <c r="F48" s="39"/>
      <c r="G48" s="31"/>
      <c r="H48" s="31"/>
      <c r="I48" s="31"/>
      <c r="J48" s="31"/>
      <c r="K48" s="31"/>
      <c r="L48" s="31"/>
      <c r="M48" s="39"/>
    </row>
    <row r="49" spans="1:13" s="54" customFormat="1" x14ac:dyDescent="0.2">
      <c r="A49" s="29">
        <f t="shared" si="2"/>
        <v>43</v>
      </c>
      <c r="B49" s="29" t="s">
        <v>65</v>
      </c>
      <c r="C49" s="30" t="s">
        <v>66</v>
      </c>
      <c r="D49" s="39"/>
      <c r="E49" s="39"/>
      <c r="F49" s="39"/>
      <c r="G49" s="31"/>
      <c r="H49" s="31"/>
      <c r="I49" s="31"/>
      <c r="J49" s="31"/>
      <c r="K49" s="31"/>
      <c r="L49" s="31"/>
      <c r="M49" s="39"/>
    </row>
    <row r="50" spans="1:13" s="54" customFormat="1" x14ac:dyDescent="0.2">
      <c r="A50" s="29">
        <f t="shared" si="2"/>
        <v>44</v>
      </c>
      <c r="B50" s="29" t="s">
        <v>75</v>
      </c>
      <c r="C50" s="30" t="s">
        <v>76</v>
      </c>
      <c r="D50" s="39"/>
      <c r="E50" s="39"/>
      <c r="F50" s="39"/>
      <c r="G50" s="31"/>
      <c r="H50" s="31"/>
      <c r="I50" s="31"/>
      <c r="J50" s="31"/>
      <c r="K50" s="31"/>
      <c r="L50" s="31"/>
      <c r="M50" s="39"/>
    </row>
    <row r="51" spans="1:13" s="54" customFormat="1" x14ac:dyDescent="0.2">
      <c r="A51" s="29">
        <f t="shared" si="2"/>
        <v>45</v>
      </c>
      <c r="B51" s="29" t="s">
        <v>99</v>
      </c>
      <c r="C51" s="30" t="s">
        <v>100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s="54" customFormat="1" x14ac:dyDescent="0.2">
      <c r="A52" s="29">
        <f t="shared" si="2"/>
        <v>46</v>
      </c>
      <c r="B52" s="29" t="s">
        <v>24</v>
      </c>
      <c r="C52" s="30" t="s">
        <v>25</v>
      </c>
      <c r="D52" s="39"/>
      <c r="E52" s="39"/>
      <c r="F52" s="48"/>
      <c r="G52" s="31"/>
      <c r="H52" s="31"/>
      <c r="I52" s="31"/>
      <c r="J52" s="31"/>
      <c r="K52" s="31"/>
      <c r="L52" s="31"/>
      <c r="M52" s="39"/>
    </row>
    <row r="53" spans="1:13" s="54" customFormat="1" x14ac:dyDescent="0.2">
      <c r="A53" s="29">
        <f t="shared" si="2"/>
        <v>47</v>
      </c>
      <c r="B53" s="29" t="s">
        <v>101</v>
      </c>
      <c r="C53" s="30" t="s">
        <v>102</v>
      </c>
      <c r="D53" s="39"/>
      <c r="E53" s="39"/>
      <c r="F53" s="39"/>
      <c r="G53" s="31"/>
      <c r="H53" s="31"/>
      <c r="I53" s="31"/>
      <c r="J53" s="31"/>
      <c r="K53" s="31"/>
      <c r="L53" s="31"/>
      <c r="M53" s="39"/>
    </row>
    <row r="54" spans="1:13" s="54" customFormat="1" x14ac:dyDescent="0.2">
      <c r="A54" s="29">
        <f t="shared" si="2"/>
        <v>48</v>
      </c>
      <c r="B54" s="29" t="s">
        <v>26</v>
      </c>
      <c r="C54" s="34" t="s">
        <v>27</v>
      </c>
      <c r="D54" s="39"/>
      <c r="E54" s="39"/>
      <c r="F54" s="39"/>
      <c r="G54" s="31"/>
      <c r="H54" s="31"/>
      <c r="I54" s="31"/>
      <c r="J54" s="31"/>
      <c r="K54" s="31"/>
      <c r="L54" s="31"/>
      <c r="M54" s="39"/>
    </row>
    <row r="55" spans="1:13" s="54" customFormat="1" x14ac:dyDescent="0.2">
      <c r="A55" s="29">
        <f t="shared" si="2"/>
        <v>49</v>
      </c>
      <c r="B55" s="29" t="s">
        <v>52</v>
      </c>
      <c r="C55" s="30" t="s">
        <v>53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s="54" customFormat="1" x14ac:dyDescent="0.2">
      <c r="A56" s="29">
        <f t="shared" si="2"/>
        <v>50</v>
      </c>
      <c r="B56" s="29" t="s">
        <v>36</v>
      </c>
      <c r="C56" s="30" t="s">
        <v>37</v>
      </c>
      <c r="D56" s="39"/>
      <c r="E56" s="39"/>
      <c r="F56" s="39"/>
      <c r="G56" s="31"/>
      <c r="H56" s="31"/>
      <c r="I56" s="31"/>
      <c r="J56" s="31"/>
      <c r="K56" s="31"/>
      <c r="L56" s="31"/>
      <c r="M56" s="39"/>
    </row>
    <row r="57" spans="1:13" s="54" customFormat="1" x14ac:dyDescent="0.2">
      <c r="A57" s="29">
        <f t="shared" si="2"/>
        <v>51</v>
      </c>
      <c r="B57" s="29" t="s">
        <v>22</v>
      </c>
      <c r="C57" s="30" t="s">
        <v>23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s="54" customFormat="1" x14ac:dyDescent="0.2">
      <c r="A58" s="29">
        <f t="shared" si="2"/>
        <v>52</v>
      </c>
      <c r="B58" s="29" t="s">
        <v>129</v>
      </c>
      <c r="C58" s="30" t="s">
        <v>130</v>
      </c>
      <c r="D58" s="39"/>
      <c r="E58" s="39"/>
      <c r="F58" s="39"/>
      <c r="G58" s="31"/>
      <c r="H58" s="31"/>
      <c r="I58" s="31"/>
      <c r="J58" s="31"/>
      <c r="K58" s="31"/>
      <c r="L58" s="31"/>
      <c r="M58" s="39"/>
    </row>
    <row r="59" spans="1:13" s="54" customFormat="1" x14ac:dyDescent="0.2">
      <c r="A59" s="29">
        <f t="shared" si="2"/>
        <v>53</v>
      </c>
      <c r="B59" s="29" t="s">
        <v>177</v>
      </c>
      <c r="C59" s="30" t="s">
        <v>179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s="54" customFormat="1" x14ac:dyDescent="0.2">
      <c r="A60" s="29">
        <f t="shared" si="2"/>
        <v>54</v>
      </c>
      <c r="B60" s="29" t="s">
        <v>30</v>
      </c>
      <c r="C60" s="30" t="s">
        <v>31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s="54" customFormat="1" x14ac:dyDescent="0.2">
      <c r="A61" s="29">
        <f t="shared" si="2"/>
        <v>55</v>
      </c>
      <c r="B61" s="29"/>
      <c r="C61" s="30"/>
      <c r="D61" s="39"/>
      <c r="E61" s="39"/>
      <c r="F61" s="39"/>
      <c r="G61" s="31"/>
      <c r="H61" s="31"/>
      <c r="I61" s="31"/>
      <c r="J61" s="31"/>
      <c r="K61" s="31"/>
      <c r="L61" s="31"/>
      <c r="M61" s="39"/>
    </row>
    <row r="62" spans="1:13" ht="14.25" customHeight="1" x14ac:dyDescent="0.25">
      <c r="A62" s="30"/>
      <c r="B62" s="30"/>
      <c r="C62" s="35" t="s">
        <v>103</v>
      </c>
      <c r="D62" s="36">
        <f t="shared" ref="D62:M62" si="3">SUM(D7:D61)</f>
        <v>60995417511.789993</v>
      </c>
      <c r="E62" s="36">
        <f t="shared" si="3"/>
        <v>57129644401.979996</v>
      </c>
      <c r="F62" s="36">
        <f t="shared" si="3"/>
        <v>4183794377.0899992</v>
      </c>
      <c r="G62" s="36">
        <f t="shared" si="3"/>
        <v>19218536539.549999</v>
      </c>
      <c r="H62" s="36">
        <f t="shared" si="3"/>
        <v>17374879065.93</v>
      </c>
      <c r="I62" s="36">
        <f t="shared" si="3"/>
        <v>44457288935.740005</v>
      </c>
      <c r="J62" s="36">
        <f t="shared" si="3"/>
        <v>4775677870.9299994</v>
      </c>
      <c r="K62" s="36">
        <f t="shared" si="3"/>
        <v>5632577149.5500011</v>
      </c>
      <c r="L62" s="36">
        <f t="shared" si="3"/>
        <v>958714352.91000032</v>
      </c>
      <c r="M62" s="36">
        <f t="shared" si="3"/>
        <v>-3808221616.1799998</v>
      </c>
    </row>
    <row r="64" spans="1:13" ht="14.25" customHeight="1" x14ac:dyDescent="0.25">
      <c r="C64" s="68" t="s">
        <v>122</v>
      </c>
      <c r="D64" s="68"/>
      <c r="J64" s="68" t="s">
        <v>190</v>
      </c>
      <c r="K64" s="68"/>
      <c r="L64" s="68"/>
      <c r="M64" s="68"/>
    </row>
    <row r="66" spans="3:13" x14ac:dyDescent="0.25">
      <c r="D66" s="49"/>
      <c r="E66" s="49"/>
      <c r="G66" s="49"/>
      <c r="I66" s="49"/>
      <c r="M66" s="49"/>
    </row>
    <row r="67" spans="3:13" x14ac:dyDescent="0.25">
      <c r="D67" s="49"/>
      <c r="E67" s="49"/>
      <c r="F67" s="49"/>
      <c r="G67" s="49"/>
      <c r="H67" s="49"/>
      <c r="I67" s="49"/>
      <c r="J67" s="49"/>
      <c r="K67" s="49"/>
      <c r="L67" s="49"/>
    </row>
    <row r="68" spans="3:13" x14ac:dyDescent="0.25">
      <c r="D68" s="49"/>
      <c r="E68" s="49"/>
      <c r="F68" s="49"/>
      <c r="G68" s="49"/>
      <c r="H68" s="49"/>
      <c r="I68" s="49"/>
      <c r="J68" s="49"/>
      <c r="K68" s="49"/>
      <c r="L68" s="49"/>
    </row>
    <row r="70" spans="3:13" x14ac:dyDescent="0.25">
      <c r="M70" s="49"/>
    </row>
    <row r="71" spans="3:13" x14ac:dyDescent="0.25">
      <c r="M71" s="49"/>
    </row>
    <row r="72" spans="3:13" x14ac:dyDescent="0.2">
      <c r="C72" s="57"/>
      <c r="E72" s="45"/>
      <c r="F72" s="45"/>
      <c r="G72" s="45"/>
      <c r="H72" s="45"/>
      <c r="J72" s="50"/>
      <c r="K72" s="50"/>
      <c r="L72" s="50"/>
    </row>
    <row r="73" spans="3:13" x14ac:dyDescent="0.25">
      <c r="C73" s="45"/>
      <c r="E73" s="45"/>
      <c r="F73" s="45"/>
      <c r="G73" s="45"/>
      <c r="H73" s="51"/>
      <c r="J73" s="52"/>
      <c r="K73" s="53"/>
      <c r="L73" s="53"/>
    </row>
    <row r="74" spans="3:13" x14ac:dyDescent="0.25">
      <c r="C74" s="45"/>
      <c r="E74" s="45"/>
      <c r="F74" s="45"/>
      <c r="G74" s="45"/>
      <c r="H74" s="51"/>
      <c r="J74" s="52"/>
      <c r="K74" s="50"/>
      <c r="L74" s="50"/>
    </row>
    <row r="75" spans="3:13" x14ac:dyDescent="0.25">
      <c r="J75" s="50"/>
      <c r="K75" s="50"/>
      <c r="L75" s="50"/>
    </row>
  </sheetData>
  <sortState ref="B7:N61">
    <sortCondition descending="1" ref="M7:M61"/>
  </sortState>
  <mergeCells count="10">
    <mergeCell ref="E1:I2"/>
    <mergeCell ref="C64:D64"/>
    <mergeCell ref="J4:M4"/>
    <mergeCell ref="A5:A6"/>
    <mergeCell ref="B5:B6"/>
    <mergeCell ref="C5:C6"/>
    <mergeCell ref="J64:M64"/>
    <mergeCell ref="D5:I5"/>
    <mergeCell ref="L5:M5"/>
    <mergeCell ref="J5:K5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view="pageBreakPreview" zoomScale="85" zoomScaleNormal="85" zoomScaleSheetLayoutView="85" workbookViewId="0">
      <pane xSplit="3" ySplit="6" topLeftCell="H16" activePane="bottomRight" state="frozen"/>
      <selection pane="topRight" activeCell="D1" sqref="D1"/>
      <selection pane="bottomLeft" activeCell="A7" sqref="A7"/>
      <selection pane="bottomRight" activeCell="K64" sqref="K64"/>
    </sheetView>
  </sheetViews>
  <sheetFormatPr defaultRowHeight="14.25" x14ac:dyDescent="0.25"/>
  <cols>
    <col min="1" max="1" width="6.140625" style="1" customWidth="1"/>
    <col min="2" max="2" width="9.85546875" style="1" customWidth="1"/>
    <col min="3" max="3" width="48.140625" style="1" customWidth="1"/>
    <col min="4" max="9" width="21.7109375" style="1" customWidth="1"/>
    <col min="10" max="10" width="23" style="1" customWidth="1"/>
    <col min="11" max="11" width="22.7109375" style="1" customWidth="1"/>
    <col min="12" max="12" width="24" style="1" customWidth="1"/>
    <col min="13" max="13" width="19.5703125" style="1" bestFit="1" customWidth="1"/>
    <col min="14" max="14" width="14.7109375" style="1" customWidth="1"/>
    <col min="15" max="16384" width="9.140625" style="1"/>
  </cols>
  <sheetData>
    <row r="1" spans="1:13" ht="15" customHeight="1" x14ac:dyDescent="0.25">
      <c r="D1" s="2"/>
      <c r="E1" s="85" t="s">
        <v>184</v>
      </c>
      <c r="F1" s="85"/>
      <c r="G1" s="85"/>
      <c r="H1" s="85"/>
      <c r="I1" s="85"/>
      <c r="J1" s="20"/>
      <c r="K1" s="20"/>
      <c r="L1" s="2"/>
    </row>
    <row r="2" spans="1:13" ht="15" customHeight="1" x14ac:dyDescent="0.25">
      <c r="C2" s="3"/>
      <c r="D2" s="3"/>
      <c r="E2" s="85"/>
      <c r="F2" s="85"/>
      <c r="G2" s="85"/>
      <c r="H2" s="85"/>
      <c r="I2" s="85"/>
      <c r="J2" s="20"/>
      <c r="K2" s="20"/>
      <c r="L2" s="3"/>
    </row>
    <row r="3" spans="1:13" ht="15.75" x14ac:dyDescent="0.25">
      <c r="C3" s="3"/>
      <c r="D3" s="18"/>
      <c r="E3" s="10"/>
      <c r="F3" s="10"/>
      <c r="G3" s="10"/>
      <c r="H3" s="10"/>
      <c r="J3"/>
      <c r="K3" s="10"/>
      <c r="L3" s="18"/>
      <c r="M3" s="18"/>
    </row>
    <row r="4" spans="1:13" ht="14.25" customHeight="1" x14ac:dyDescent="0.25">
      <c r="A4" s="75"/>
      <c r="B4" s="75"/>
      <c r="C4" s="75"/>
      <c r="D4" s="19"/>
      <c r="I4" s="19"/>
      <c r="L4" s="84" t="s">
        <v>183</v>
      </c>
      <c r="M4" s="84"/>
    </row>
    <row r="5" spans="1:13" ht="36.75" customHeight="1" x14ac:dyDescent="0.25">
      <c r="A5" s="76" t="s">
        <v>0</v>
      </c>
      <c r="B5" s="78" t="s">
        <v>107</v>
      </c>
      <c r="C5" s="78" t="s">
        <v>106</v>
      </c>
      <c r="D5" s="86" t="s">
        <v>114</v>
      </c>
      <c r="E5" s="86"/>
      <c r="F5" s="86"/>
      <c r="G5" s="86"/>
      <c r="H5" s="86"/>
      <c r="I5" s="86"/>
      <c r="J5" s="82" t="s">
        <v>127</v>
      </c>
      <c r="K5" s="83"/>
      <c r="L5" s="80" t="s">
        <v>115</v>
      </c>
      <c r="M5" s="81"/>
    </row>
    <row r="6" spans="1:13" s="9" customFormat="1" ht="36" customHeight="1" x14ac:dyDescent="0.25">
      <c r="A6" s="77"/>
      <c r="B6" s="79"/>
      <c r="C6" s="79"/>
      <c r="D6" s="22" t="s">
        <v>110</v>
      </c>
      <c r="E6" s="23" t="s">
        <v>108</v>
      </c>
      <c r="F6" s="23" t="s">
        <v>109</v>
      </c>
      <c r="G6" s="24" t="s">
        <v>111</v>
      </c>
      <c r="H6" s="23" t="s">
        <v>123</v>
      </c>
      <c r="I6" s="22" t="s">
        <v>112</v>
      </c>
      <c r="J6" s="25" t="s">
        <v>134</v>
      </c>
      <c r="K6" s="25" t="s">
        <v>133</v>
      </c>
      <c r="L6" s="26" t="s">
        <v>128</v>
      </c>
      <c r="M6" s="25" t="s">
        <v>113</v>
      </c>
    </row>
    <row r="7" spans="1:13" ht="14.25" customHeight="1" x14ac:dyDescent="0.25">
      <c r="A7" s="4">
        <v>1</v>
      </c>
      <c r="B7" s="27" t="s">
        <v>48</v>
      </c>
      <c r="C7" s="28" t="s">
        <v>173</v>
      </c>
      <c r="D7" s="6">
        <f>+VLOOKUP(B7,MNG!$B$7:$M$61,3,0)</f>
        <v>2410709196.0900002</v>
      </c>
      <c r="E7" s="6">
        <f>+VLOOKUP($B7,MNG!$B$7:$M$61,4,0)</f>
        <v>2091296548.76</v>
      </c>
      <c r="F7" s="6">
        <f>+VLOOKUP($B7,MNG!$B$7:$M$61,5,0)</f>
        <v>319412647.32999998</v>
      </c>
      <c r="G7" s="6">
        <f>+VLOOKUP($B7,MNG!$B$7:$M$61,6,0)</f>
        <v>620664150.07000005</v>
      </c>
      <c r="H7" s="6">
        <f>+VLOOKUP($B7,MNG!$B$7:$M$61,7,0)</f>
        <v>779283538.16999996</v>
      </c>
      <c r="I7" s="6">
        <f>+VLOOKUP($B7,MNG!$B$7:$M$61,8,0)</f>
        <v>1631425657.9200001</v>
      </c>
      <c r="J7" s="6">
        <f>+VLOOKUP($B7,MNG!$B$7:$M$61,9,0)</f>
        <v>0</v>
      </c>
      <c r="K7" s="6">
        <f>+VLOOKUP($B7,MNG!$B$7:$M$61,10,0)</f>
        <v>0</v>
      </c>
      <c r="L7" s="6">
        <f>+VLOOKUP($B7,MNG!$B$7:$M$61,11,0)</f>
        <v>1141215092.4000001</v>
      </c>
      <c r="M7" s="6">
        <f>+VLOOKUP($B7,MNG!$B$7:$M$61,12,0)</f>
        <v>774246184.00999999</v>
      </c>
    </row>
    <row r="8" spans="1:13" ht="14.25" customHeight="1" x14ac:dyDescent="0.25">
      <c r="A8" s="4">
        <f t="shared" ref="A8:A41" si="0">A7+1</f>
        <v>2</v>
      </c>
      <c r="B8" s="27" t="s">
        <v>60</v>
      </c>
      <c r="C8" s="28" t="s">
        <v>176</v>
      </c>
      <c r="D8" s="6">
        <f>+VLOOKUP(B8,MNG!$B$7:$M$61,3,0)</f>
        <v>3779412799.0599999</v>
      </c>
      <c r="E8" s="6" t="str">
        <f>+VLOOKUP($B8,MNG!$B$7:$M$61,4,0)</f>
        <v>3684793.997.55</v>
      </c>
      <c r="F8" s="6">
        <f>+VLOOKUP($B8,MNG!$B$7:$M$61,5,0)</f>
        <v>94618801.510000005</v>
      </c>
      <c r="G8" s="6">
        <f>+VLOOKUP($B8,MNG!$B$7:$M$61,6,0)</f>
        <v>682797189.94000006</v>
      </c>
      <c r="H8" s="6">
        <f>+VLOOKUP($B8,MNG!$B$7:$M$61,7,0)</f>
        <v>682797189.94000006</v>
      </c>
      <c r="I8" s="6">
        <f>+VLOOKUP($B8,MNG!$B$7:$M$61,8,0)</f>
        <v>3096615609.1199999</v>
      </c>
      <c r="J8" s="6">
        <f>+VLOOKUP($B8,MNG!$B$7:$M$61,9,0)</f>
        <v>386394017.86000001</v>
      </c>
      <c r="K8" s="6">
        <f>+VLOOKUP($B8,MNG!$B$7:$M$61,10,0)</f>
        <v>1543426126.5699999</v>
      </c>
      <c r="L8" s="6">
        <f>+VLOOKUP($B8,MNG!$B$7:$M$61,11,0)</f>
        <v>329496794.50999999</v>
      </c>
      <c r="M8" s="6">
        <f>+VLOOKUP($B8,MNG!$B$7:$M$61,12,0)</f>
        <v>127375741.28</v>
      </c>
    </row>
    <row r="9" spans="1:13" ht="14.25" customHeight="1" x14ac:dyDescent="0.25">
      <c r="A9" s="4">
        <f t="shared" si="0"/>
        <v>3</v>
      </c>
      <c r="B9" s="27" t="s">
        <v>16</v>
      </c>
      <c r="C9" s="28" t="s">
        <v>139</v>
      </c>
      <c r="D9" s="6">
        <f>+VLOOKUP(B9,MNG!$B$7:$M$61,3,0)</f>
        <v>453821943.02999997</v>
      </c>
      <c r="E9" s="6">
        <f>+VLOOKUP($B9,MNG!$B$7:$M$61,4,0)</f>
        <v>4418142503.8400002</v>
      </c>
      <c r="F9" s="6">
        <f>+VLOOKUP($B9,MNG!$B$7:$M$61,5,0)</f>
        <v>116679439.19</v>
      </c>
      <c r="G9" s="6">
        <f>+VLOOKUP($B9,MNG!$B$7:$M$61,6,0)</f>
        <v>9721953.5700000003</v>
      </c>
      <c r="H9" s="6">
        <f>+VLOOKUP($B9,MNG!$B$7:$M$61,7,0)</f>
        <v>9721953.5700000003</v>
      </c>
      <c r="I9" s="6">
        <f>+VLOOKUP($B9,MNG!$B$7:$M$61,8,0)</f>
        <v>4525099989.46</v>
      </c>
      <c r="J9" s="6">
        <f>+VLOOKUP($B9,MNG!$B$7:$M$61,9,0)</f>
        <v>348288577.38</v>
      </c>
      <c r="K9" s="6">
        <f>+VLOOKUP($B9,MNG!$B$7:$M$61,10,0)</f>
        <v>283024733.23000002</v>
      </c>
      <c r="L9" s="6">
        <f>+VLOOKUP($B9,MNG!$B$7:$M$61,11,0)</f>
        <v>248388666.00999999</v>
      </c>
      <c r="M9" s="6">
        <f>+VLOOKUP($B9,MNG!$B$7:$M$61,12,0)</f>
        <v>82876972.780000001</v>
      </c>
    </row>
    <row r="10" spans="1:13" ht="14.25" customHeight="1" x14ac:dyDescent="0.25">
      <c r="A10" s="4">
        <f t="shared" si="0"/>
        <v>4</v>
      </c>
      <c r="B10" s="27" t="s">
        <v>32</v>
      </c>
      <c r="C10" s="28" t="s">
        <v>174</v>
      </c>
      <c r="D10" s="6">
        <f>+VLOOKUP(B10,MNG!$B$7:$M$61,3,0)</f>
        <v>632140315.86000001</v>
      </c>
      <c r="E10" s="6">
        <f>+VLOOKUP($B10,MNG!$B$7:$M$61,4,0)</f>
        <v>623257596.61000001</v>
      </c>
      <c r="F10" s="6">
        <f>+VLOOKUP($B10,MNG!$B$7:$M$61,5,0)</f>
        <v>8882719.25</v>
      </c>
      <c r="G10" s="6">
        <f>+VLOOKUP($B10,MNG!$B$7:$M$61,6,0)</f>
        <v>13881126.5</v>
      </c>
      <c r="H10" s="6">
        <f>+VLOOKUP($B10,MNG!$B$7:$M$61,7,0)</f>
        <v>13881126.5</v>
      </c>
      <c r="I10" s="6">
        <f>+VLOOKUP($B10,MNG!$B$7:$M$61,8,0)</f>
        <v>618259189.36000001</v>
      </c>
      <c r="J10" s="6">
        <f>+VLOOKUP($B10,MNG!$B$7:$M$61,9,0)</f>
        <v>28328181.629999999</v>
      </c>
      <c r="K10" s="6">
        <f>+VLOOKUP($B10,MNG!$B$7:$M$61,10,0)</f>
        <v>11325115.43</v>
      </c>
      <c r="L10" s="6">
        <f>+VLOOKUP($B10,MNG!$B$7:$M$61,11,0)</f>
        <v>82228181.629999995</v>
      </c>
      <c r="M10" s="6">
        <f>+VLOOKUP($B10,MNG!$B$7:$M$61,12,0)</f>
        <v>60769138.520000003</v>
      </c>
    </row>
    <row r="11" spans="1:13" ht="14.25" customHeight="1" x14ac:dyDescent="0.25">
      <c r="A11" s="4">
        <f t="shared" si="0"/>
        <v>5</v>
      </c>
      <c r="B11" s="27" t="s">
        <v>69</v>
      </c>
      <c r="C11" s="28" t="s">
        <v>145</v>
      </c>
      <c r="D11" s="6">
        <f>+VLOOKUP(B11,MNG!$B$7:$M$61,3,0)</f>
        <v>424720074.66000003</v>
      </c>
      <c r="E11" s="6">
        <f>+VLOOKUP($B11,MNG!$B$7:$M$61,4,0)</f>
        <v>415020074.66000003</v>
      </c>
      <c r="F11" s="6">
        <f>+VLOOKUP($B11,MNG!$B$7:$M$61,5,0)</f>
        <v>9700000</v>
      </c>
      <c r="G11" s="6">
        <f>+VLOOKUP($B11,MNG!$B$7:$M$61,6,0)</f>
        <v>25030.85</v>
      </c>
      <c r="H11" s="6">
        <f>+VLOOKUP($B11,MNG!$B$7:$M$61,7,0)</f>
        <v>25030.85</v>
      </c>
      <c r="I11" s="6">
        <f>+VLOOKUP($B11,MNG!$B$7:$M$61,8,0)</f>
        <v>424695043.79000002</v>
      </c>
      <c r="J11" s="6">
        <f>+VLOOKUP($B11,MNG!$B$7:$M$61,9,0)</f>
        <v>74145824.939999998</v>
      </c>
      <c r="K11" s="6">
        <f>+VLOOKUP($B11,MNG!$B$7:$M$61,10,0)</f>
        <v>33103789.73</v>
      </c>
      <c r="L11" s="6">
        <f>+VLOOKUP($B11,MNG!$B$7:$M$61,11,0)</f>
        <v>74145824.939999998</v>
      </c>
      <c r="M11" s="6">
        <f>+VLOOKUP($B11,MNG!$B$7:$M$61,12,0)</f>
        <v>40956354.079999998</v>
      </c>
    </row>
    <row r="12" spans="1:13" ht="14.25" customHeight="1" x14ac:dyDescent="0.25">
      <c r="A12" s="4">
        <f t="shared" si="0"/>
        <v>6</v>
      </c>
      <c r="B12" s="27" t="s">
        <v>14</v>
      </c>
      <c r="C12" s="28" t="s">
        <v>138</v>
      </c>
      <c r="D12" s="6">
        <f>+VLOOKUP(B12,MNG!$B$7:$M$61,3,0)</f>
        <v>3061067312.21</v>
      </c>
      <c r="E12" s="6">
        <f>+VLOOKUP($B12,MNG!$B$7:$M$61,4,0)</f>
        <v>2978094812.5599999</v>
      </c>
      <c r="F12" s="6">
        <f>+VLOOKUP($B12,MNG!$B$7:$M$61,5,0)</f>
        <v>82972499.650000006</v>
      </c>
      <c r="G12" s="6">
        <f>+VLOOKUP($B12,MNG!$B$7:$M$61,6,0)</f>
        <v>1328654911.5699999</v>
      </c>
      <c r="H12" s="6">
        <f>+VLOOKUP($B12,MNG!$B$7:$M$61,7,0)</f>
        <v>1329108559.53</v>
      </c>
      <c r="I12" s="6">
        <f>+VLOOKUP($B12,MNG!$B$7:$M$61,8,0)</f>
        <v>1731958752.6800001</v>
      </c>
      <c r="J12" s="6">
        <f>+VLOOKUP($B12,MNG!$B$7:$M$61,9,0)</f>
        <v>617035969.35000002</v>
      </c>
      <c r="K12" s="6">
        <f>+VLOOKUP($B12,MNG!$B$7:$M$61,10,0)</f>
        <v>301695528.19</v>
      </c>
      <c r="L12" s="6">
        <f>+VLOOKUP($B12,MNG!$B$7:$M$61,11,0)</f>
        <v>517715248.64999998</v>
      </c>
      <c r="M12" s="6">
        <f>+VLOOKUP($B12,MNG!$B$7:$M$61,12,0)</f>
        <v>19760927.710000001</v>
      </c>
    </row>
    <row r="13" spans="1:13" ht="14.25" customHeight="1" x14ac:dyDescent="0.25">
      <c r="A13" s="4">
        <f t="shared" si="0"/>
        <v>7</v>
      </c>
      <c r="B13" s="27" t="s">
        <v>85</v>
      </c>
      <c r="C13" s="28" t="s">
        <v>151</v>
      </c>
      <c r="D13" s="6">
        <f>+VLOOKUP(B13,MNG!$B$7:$M$61,3,0)</f>
        <v>118050909.65000001</v>
      </c>
      <c r="E13" s="6">
        <f>+VLOOKUP($B13,MNG!$B$7:$M$61,4,0)</f>
        <v>76826459.159999996</v>
      </c>
      <c r="F13" s="6">
        <f>+VLOOKUP($B13,MNG!$B$7:$M$61,5,0)</f>
        <v>41224450.490000002</v>
      </c>
      <c r="G13" s="6">
        <f>+VLOOKUP($B13,MNG!$B$7:$M$61,6,0)</f>
        <v>61516.85</v>
      </c>
      <c r="H13" s="6">
        <f>+VLOOKUP($B13,MNG!$B$7:$M$61,7,0)</f>
        <v>61516.85</v>
      </c>
      <c r="I13" s="6">
        <f>+VLOOKUP($B13,MNG!$B$7:$M$61,8,0)</f>
        <v>117989392.8</v>
      </c>
      <c r="J13" s="6">
        <f>+VLOOKUP($B13,MNG!$B$7:$M$61,9,0)</f>
        <v>42984755.579999998</v>
      </c>
      <c r="K13" s="6">
        <f>+VLOOKUP($B13,MNG!$B$7:$M$61,10,0)</f>
        <v>27444608.789999999</v>
      </c>
      <c r="L13" s="6">
        <f>+VLOOKUP($B13,MNG!$B$7:$M$61,11,0)</f>
        <v>42984755.579999998</v>
      </c>
      <c r="M13" s="6">
        <f>+VLOOKUP($B13,MNG!$B$7:$M$61,12,0)</f>
        <v>14561790.220000001</v>
      </c>
    </row>
    <row r="14" spans="1:13" ht="14.25" customHeight="1" x14ac:dyDescent="0.25">
      <c r="A14" s="4">
        <f t="shared" si="0"/>
        <v>8</v>
      </c>
      <c r="B14" s="27" t="s">
        <v>95</v>
      </c>
      <c r="C14" s="28" t="s">
        <v>162</v>
      </c>
      <c r="D14" s="6">
        <f>+VLOOKUP(B14,MNG!$B$7:$M$61,3,0)</f>
        <v>99468819.709999993</v>
      </c>
      <c r="E14" s="6">
        <f>+VLOOKUP($B14,MNG!$B$7:$M$61,4,0)</f>
        <v>69462135.709999993</v>
      </c>
      <c r="F14" s="6">
        <f>+VLOOKUP($B14,MNG!$B$7:$M$61,5,0)</f>
        <v>30006684</v>
      </c>
      <c r="G14" s="6">
        <f>+VLOOKUP($B14,MNG!$B$7:$M$61,6,0)</f>
        <v>310781.93</v>
      </c>
      <c r="H14" s="6">
        <f>+VLOOKUP($B14,MNG!$B$7:$M$61,7,0)</f>
        <v>310781.93</v>
      </c>
      <c r="I14" s="6">
        <f>+VLOOKUP($B14,MNG!$B$7:$M$61,8,0)</f>
        <v>99158037.780000001</v>
      </c>
      <c r="J14" s="6">
        <f>+VLOOKUP($B14,MNG!$B$7:$M$61,9,0)</f>
        <v>32912294.079999998</v>
      </c>
      <c r="K14" s="6">
        <f>+VLOOKUP($B14,MNG!$B$7:$M$61,10,0)</f>
        <v>19395944.379999999</v>
      </c>
      <c r="L14" s="6">
        <f>+VLOOKUP($B14,MNG!$B$7:$M$61,11,0)</f>
        <v>32912294.079999998</v>
      </c>
      <c r="M14" s="6">
        <f>+VLOOKUP($B14,MNG!$B$7:$M$61,12,0)</f>
        <v>12623845.710000001</v>
      </c>
    </row>
    <row r="15" spans="1:13" ht="14.25" customHeight="1" x14ac:dyDescent="0.25">
      <c r="A15" s="4">
        <f t="shared" si="0"/>
        <v>9</v>
      </c>
      <c r="B15" s="27" t="s">
        <v>61</v>
      </c>
      <c r="C15" s="28" t="s">
        <v>175</v>
      </c>
      <c r="D15" s="6">
        <f>+VLOOKUP(B15,MNG!$B$7:$M$61,3,0)</f>
        <v>283646533.17000002</v>
      </c>
      <c r="E15" s="6">
        <f>+VLOOKUP($B15,MNG!$B$7:$M$61,4,0)</f>
        <v>275719613.17000002</v>
      </c>
      <c r="F15" s="6">
        <f>+VLOOKUP($B15,MNG!$B$7:$M$61,5,0)</f>
        <v>7926920</v>
      </c>
      <c r="G15" s="6">
        <f>+VLOOKUP($B15,MNG!$B$7:$M$61,6,0)</f>
        <v>0</v>
      </c>
      <c r="H15" s="6">
        <f>+VLOOKUP($B15,MNG!$B$7:$M$61,7,0)</f>
        <v>0</v>
      </c>
      <c r="I15" s="6">
        <f>+VLOOKUP($B15,MNG!$B$7:$M$61,8,0)</f>
        <v>28366533.170000002</v>
      </c>
      <c r="J15" s="6">
        <f>+VLOOKUP($B15,MNG!$B$7:$M$61,9,0)</f>
        <v>57951378.450000003</v>
      </c>
      <c r="K15" s="6">
        <f>+VLOOKUP($B15,MNG!$B$7:$M$61,10,0)</f>
        <v>44904177.729999997</v>
      </c>
      <c r="L15" s="6">
        <f>+VLOOKUP($B15,MNG!$B$7:$M$61,11,0)</f>
        <v>55588153.43</v>
      </c>
      <c r="M15" s="6">
        <f>+VLOOKUP($B15,MNG!$B$7:$M$61,12,0)</f>
        <v>11803894.220000001</v>
      </c>
    </row>
    <row r="16" spans="1:13" ht="14.25" customHeight="1" x14ac:dyDescent="0.25">
      <c r="A16" s="4">
        <f t="shared" si="0"/>
        <v>10</v>
      </c>
      <c r="B16" s="27" t="s">
        <v>91</v>
      </c>
      <c r="C16" s="28" t="s">
        <v>161</v>
      </c>
      <c r="D16" s="6">
        <f>+VLOOKUP(B16,MNG!$B$7:$M$61,3,0)</f>
        <v>125437784.70999999</v>
      </c>
      <c r="E16" s="6">
        <f>+VLOOKUP($B16,MNG!$B$7:$M$61,4,0)</f>
        <v>116786284.70999999</v>
      </c>
      <c r="F16" s="6">
        <f>+VLOOKUP($B16,MNG!$B$7:$M$61,5,0)</f>
        <v>8651500</v>
      </c>
      <c r="G16" s="6">
        <f>+VLOOKUP($B16,MNG!$B$7:$M$61,6,0)</f>
        <v>1415930.55</v>
      </c>
      <c r="H16" s="6">
        <f>+VLOOKUP($B16,MNG!$B$7:$M$61,7,0)</f>
        <v>1415930.55</v>
      </c>
      <c r="I16" s="6">
        <f>+VLOOKUP($B16,MNG!$B$7:$M$61,8,0)</f>
        <v>124021854.16</v>
      </c>
      <c r="J16" s="6">
        <f>+VLOOKUP($B16,MNG!$B$7:$M$61,9,0)</f>
        <v>37474864.659999996</v>
      </c>
      <c r="K16" s="6">
        <f>+VLOOKUP($B16,MNG!$B$7:$M$61,10,0)</f>
        <v>25563910</v>
      </c>
      <c r="L16" s="6">
        <f>+VLOOKUP($B16,MNG!$B$7:$M$61,11,0)</f>
        <v>37474864.659999996</v>
      </c>
      <c r="M16" s="6">
        <f>+VLOOKUP($B16,MNG!$B$7:$M$61,12,0)</f>
        <v>11647800.109999999</v>
      </c>
    </row>
    <row r="17" spans="1:13" ht="14.25" customHeight="1" x14ac:dyDescent="0.25">
      <c r="A17" s="4">
        <f t="shared" si="0"/>
        <v>11</v>
      </c>
      <c r="B17" s="27" t="s">
        <v>188</v>
      </c>
      <c r="C17" s="28" t="s">
        <v>195</v>
      </c>
      <c r="D17" s="6"/>
      <c r="E17" s="6">
        <f>+VLOOKUP($B17,MNG!$B$7:$M$61,4,0)</f>
        <v>132529972.23999999</v>
      </c>
      <c r="F17" s="6">
        <f>+VLOOKUP($B17,MNG!$B$7:$M$61,5,0)</f>
        <v>2344000</v>
      </c>
      <c r="G17" s="6">
        <f>+VLOOKUP($B17,MNG!$B$7:$M$61,6,0)</f>
        <v>0</v>
      </c>
      <c r="H17" s="6">
        <f>+VLOOKUP($B17,MNG!$B$7:$M$61,7,0)</f>
        <v>0</v>
      </c>
      <c r="I17" s="6">
        <f>+VLOOKUP($B17,MNG!$B$7:$M$61,8,0)</f>
        <v>134873972.24000001</v>
      </c>
      <c r="J17" s="6">
        <f>+VLOOKUP($B17,MNG!$B$7:$M$61,9,0)</f>
        <v>31735158.399999999</v>
      </c>
      <c r="K17" s="6">
        <f>+VLOOKUP($B17,MNG!$B$7:$M$61,10,0)</f>
        <v>21761198.690000001</v>
      </c>
      <c r="L17" s="6">
        <f>+VLOOKUP($B17,MNG!$B$7:$M$61,11,0)</f>
        <v>31735158.399999999</v>
      </c>
      <c r="M17" s="6">
        <f>+VLOOKUP($B17,MNG!$B$7:$M$61,12,0)</f>
        <v>9826459.7100000009</v>
      </c>
    </row>
    <row r="18" spans="1:13" ht="14.25" customHeight="1" x14ac:dyDescent="0.25">
      <c r="A18" s="4">
        <f t="shared" si="0"/>
        <v>12</v>
      </c>
      <c r="B18" s="27" t="s">
        <v>81</v>
      </c>
      <c r="C18" s="28" t="s">
        <v>164</v>
      </c>
      <c r="D18" s="6">
        <f>+VLOOKUP(B18,MNG!$B$7:$M$61,3,0)</f>
        <v>198018481.96000001</v>
      </c>
      <c r="E18" s="6">
        <f>+VLOOKUP($B18,MNG!$B$7:$M$61,4,0)</f>
        <v>113821971.95999999</v>
      </c>
      <c r="F18" s="6">
        <f>+VLOOKUP($B18,MNG!$B$7:$M$61,5,0)</f>
        <v>84196510</v>
      </c>
      <c r="G18" s="6">
        <f>+VLOOKUP($B18,MNG!$B$7:$M$61,6,0)</f>
        <v>123747.93</v>
      </c>
      <c r="H18" s="6">
        <f>+VLOOKUP($B18,MNG!$B$7:$M$61,7,0)</f>
        <v>123747.93</v>
      </c>
      <c r="I18" s="6">
        <f>+VLOOKUP($B18,MNG!$B$7:$M$61,8,0)</f>
        <v>197894734.03</v>
      </c>
      <c r="J18" s="6">
        <f>+VLOOKUP($B18,MNG!$B$7:$M$61,9,0)</f>
        <v>21564677.41</v>
      </c>
      <c r="K18" s="6">
        <f>+VLOOKUP($B18,MNG!$B$7:$M$61,10,0)</f>
        <v>11894123.42</v>
      </c>
      <c r="L18" s="6">
        <f>+VLOOKUP($B18,MNG!$B$7:$M$61,11,0)</f>
        <v>20987077.41</v>
      </c>
      <c r="M18" s="6">
        <f>+VLOOKUP($B18,MNG!$B$7:$M$61,12,0)</f>
        <v>9573848.4600000009</v>
      </c>
    </row>
    <row r="19" spans="1:13" s="7" customFormat="1" ht="14.25" customHeight="1" x14ac:dyDescent="0.25">
      <c r="A19" s="4">
        <f t="shared" si="0"/>
        <v>13</v>
      </c>
      <c r="B19" s="27" t="s">
        <v>193</v>
      </c>
      <c r="C19" s="28" t="s">
        <v>196</v>
      </c>
      <c r="D19" s="6"/>
      <c r="E19" s="6">
        <f>+VLOOKUP($B19,MNG!$B$7:$M$61,4,0)</f>
        <v>81526442.019999996</v>
      </c>
      <c r="F19" s="6">
        <f>+VLOOKUP($B19,MNG!$B$7:$M$61,5,0)</f>
        <v>438415509.73000002</v>
      </c>
      <c r="G19" s="6">
        <f>+VLOOKUP($B19,MNG!$B$7:$M$61,6,0)</f>
        <v>2860596.86</v>
      </c>
      <c r="H19" s="6">
        <f>+VLOOKUP($B19,MNG!$B$7:$M$61,7,0)</f>
        <v>18781396.859999999</v>
      </c>
      <c r="I19" s="6">
        <f>+VLOOKUP($B19,MNG!$B$7:$M$61,8,0)</f>
        <v>501160554.88999999</v>
      </c>
      <c r="J19" s="6">
        <f>+VLOOKUP($B19,MNG!$B$7:$M$61,9,0)</f>
        <v>135232557.43000001</v>
      </c>
      <c r="K19" s="6">
        <f>+VLOOKUP($B19,MNG!$B$7:$M$61,10,0)</f>
        <v>144218159.50999999</v>
      </c>
      <c r="L19" s="6">
        <f>+VLOOKUP($B19,MNG!$B$7:$M$61,11,0)</f>
        <v>146222776.31</v>
      </c>
      <c r="M19" s="6">
        <f>+VLOOKUP($B19,MNG!$B$7:$M$61,12,0)</f>
        <v>6720948.0099999998</v>
      </c>
    </row>
    <row r="20" spans="1:13" s="7" customFormat="1" ht="14.25" customHeight="1" x14ac:dyDescent="0.25">
      <c r="A20" s="4">
        <f t="shared" si="0"/>
        <v>14</v>
      </c>
      <c r="B20" s="27" t="s">
        <v>79</v>
      </c>
      <c r="C20" s="28" t="s">
        <v>149</v>
      </c>
      <c r="D20" s="6">
        <f>+VLOOKUP(B20,MNG!$B$7:$M$61,3,0)</f>
        <v>1202893125</v>
      </c>
      <c r="E20" s="6">
        <f>+VLOOKUP($B20,MNG!$B$7:$M$61,4,0)</f>
        <v>1197893125</v>
      </c>
      <c r="F20" s="6">
        <f>+VLOOKUP($B20,MNG!$B$7:$M$61,5,0)</f>
        <v>5000000</v>
      </c>
      <c r="G20" s="6">
        <f>+VLOOKUP($B20,MNG!$B$7:$M$61,6,0)</f>
        <v>18000000</v>
      </c>
      <c r="H20" s="6">
        <f>+VLOOKUP($B20,MNG!$B$7:$M$61,7,0)</f>
        <v>18000000</v>
      </c>
      <c r="I20" s="6">
        <f>+VLOOKUP($B20,MNG!$B$7:$M$61,8,0)</f>
        <v>1184893125</v>
      </c>
      <c r="J20" s="6">
        <f>+VLOOKUP($B20,MNG!$B$7:$M$61,9,0)</f>
        <v>26599519</v>
      </c>
      <c r="K20" s="6">
        <f>+VLOOKUP($B20,MNG!$B$7:$M$61,10,0)</f>
        <v>24325093</v>
      </c>
      <c r="L20" s="6">
        <f>+VLOOKUP($B20,MNG!$B$7:$M$61,11,0)</f>
        <v>26604199</v>
      </c>
      <c r="M20" s="6">
        <f>+VLOOKUP($B20,MNG!$B$7:$M$61,12,0)</f>
        <v>5050231</v>
      </c>
    </row>
    <row r="21" spans="1:13" ht="14.25" customHeight="1" x14ac:dyDescent="0.25">
      <c r="A21" s="4">
        <f t="shared" si="0"/>
        <v>15</v>
      </c>
      <c r="B21" s="27" t="s">
        <v>77</v>
      </c>
      <c r="C21" s="28" t="s">
        <v>157</v>
      </c>
      <c r="D21" s="6">
        <f>+VLOOKUP(B21,MNG!$B$7:$M$61,3,0)</f>
        <v>135421748.63999999</v>
      </c>
      <c r="E21" s="6">
        <f>+VLOOKUP($B21,MNG!$B$7:$M$61,4,0)</f>
        <v>104008123.64</v>
      </c>
      <c r="F21" s="6">
        <f>+VLOOKUP($B21,MNG!$B$7:$M$61,5,0)</f>
        <v>31413625</v>
      </c>
      <c r="G21" s="6">
        <f>+VLOOKUP($B21,MNG!$B$7:$M$61,6,0)</f>
        <v>0</v>
      </c>
      <c r="H21" s="6">
        <f>+VLOOKUP($B21,MNG!$B$7:$M$61,7,0)</f>
        <v>0</v>
      </c>
      <c r="I21" s="6">
        <f>+VLOOKUP($B21,MNG!$B$7:$M$61,8,0)</f>
        <v>135421748.63999999</v>
      </c>
      <c r="J21" s="6">
        <f>+VLOOKUP($B21,MNG!$B$7:$M$61,9,0)</f>
        <v>28663429.489999998</v>
      </c>
      <c r="K21" s="6">
        <f>+VLOOKUP($B21,MNG!$B$7:$M$61,10,0)</f>
        <v>23738627</v>
      </c>
      <c r="L21" s="6">
        <f>+VLOOKUP($B21,MNG!$B$7:$M$61,11,0)</f>
        <v>9469629.4900000002</v>
      </c>
      <c r="M21" s="6">
        <f>+VLOOKUP($B21,MNG!$B$7:$M$61,12,0)</f>
        <v>5038345.93</v>
      </c>
    </row>
    <row r="22" spans="1:13" ht="14.25" customHeight="1" x14ac:dyDescent="0.25">
      <c r="A22" s="4">
        <f t="shared" si="0"/>
        <v>16</v>
      </c>
      <c r="B22" s="27" t="s">
        <v>89</v>
      </c>
      <c r="C22" s="28" t="s">
        <v>154</v>
      </c>
      <c r="D22" s="6">
        <f>+VLOOKUP(B22,MNG!$B$7:$M$61,3,0)</f>
        <v>122124504.14</v>
      </c>
      <c r="E22" s="6">
        <f>+VLOOKUP($B22,MNG!$B$7:$M$61,4,0)</f>
        <v>114570204.14</v>
      </c>
      <c r="F22" s="6">
        <f>+VLOOKUP($B22,MNG!$B$7:$M$61,5,0)</f>
        <v>7554300</v>
      </c>
      <c r="G22" s="6">
        <f>+VLOOKUP($B22,MNG!$B$7:$M$61,6,0)</f>
        <v>738139.04</v>
      </c>
      <c r="H22" s="6">
        <f>+VLOOKUP($B22,MNG!$B$7:$M$61,7,0)</f>
        <v>738139.04</v>
      </c>
      <c r="I22" s="6">
        <f>+VLOOKUP($B22,MNG!$B$7:$M$61,8,0)</f>
        <v>121386365.09999999</v>
      </c>
      <c r="J22" s="6">
        <f>+VLOOKUP($B22,MNG!$B$7:$M$61,9,0)</f>
        <v>79451010</v>
      </c>
      <c r="K22" s="6">
        <f>+VLOOKUP($B22,MNG!$B$7:$M$61,10,0)</f>
        <v>62079000</v>
      </c>
      <c r="L22" s="6">
        <f>+VLOOKUP($B22,MNG!$B$7:$M$61,11,0)</f>
        <v>79451010</v>
      </c>
      <c r="M22" s="6">
        <f>+VLOOKUP($B22,MNG!$B$7:$M$61,12,0)</f>
        <v>1944009</v>
      </c>
    </row>
    <row r="23" spans="1:13" s="7" customFormat="1" ht="14.25" customHeight="1" x14ac:dyDescent="0.25">
      <c r="A23" s="4">
        <f t="shared" si="0"/>
        <v>17</v>
      </c>
      <c r="B23" s="27" t="s">
        <v>12</v>
      </c>
      <c r="C23" s="28" t="s">
        <v>140</v>
      </c>
      <c r="D23" s="6">
        <f>+VLOOKUP(B23,MNG!$B$7:$M$61,3,0)</f>
        <v>5721080944.7299995</v>
      </c>
      <c r="E23" s="6">
        <f>+VLOOKUP($B23,MNG!$B$7:$M$61,4,0)</f>
        <v>5689976745.9200001</v>
      </c>
      <c r="F23" s="6">
        <f>+VLOOKUP($B23,MNG!$B$7:$M$61,5,0)</f>
        <v>31104198.82</v>
      </c>
      <c r="G23" s="6">
        <f>+VLOOKUP($B23,MNG!$B$7:$M$61,6,0)</f>
        <v>4218115444.3000002</v>
      </c>
      <c r="H23" s="6">
        <f>+VLOOKUP($B23,MNG!$B$7:$M$61,7,0)</f>
        <v>421811544.30000001</v>
      </c>
      <c r="I23" s="6">
        <f>+VLOOKUP($B23,MNG!$B$7:$M$61,8,0)</f>
        <v>1502965500.4300001</v>
      </c>
      <c r="J23" s="6">
        <f>+VLOOKUP($B23,MNG!$B$7:$M$61,9,0)</f>
        <v>143618332.43000001</v>
      </c>
      <c r="K23" s="6">
        <f>+VLOOKUP($B23,MNG!$B$7:$M$61,10,0)</f>
        <v>934609902.48000002</v>
      </c>
      <c r="L23" s="6">
        <f>+VLOOKUP($B23,MNG!$B$7:$M$61,11,0)</f>
        <v>141133465.80000001</v>
      </c>
      <c r="M23" s="6">
        <f>+VLOOKUP($B23,MNG!$B$7:$M$61,12,0)</f>
        <v>996936.7</v>
      </c>
    </row>
    <row r="24" spans="1:13" s="7" customFormat="1" ht="14.25" customHeight="1" x14ac:dyDescent="0.25">
      <c r="A24" s="4">
        <f t="shared" si="0"/>
        <v>18</v>
      </c>
      <c r="B24" s="27" t="s">
        <v>44</v>
      </c>
      <c r="C24" s="28" t="s">
        <v>152</v>
      </c>
      <c r="D24" s="6">
        <f>+VLOOKUP(B24,MNG!$B$7:$M$61,3,0)</f>
        <v>443632508.81999999</v>
      </c>
      <c r="E24" s="6">
        <f>+VLOOKUP($B24,MNG!$B$7:$M$61,4,0)</f>
        <v>291872780.81999999</v>
      </c>
      <c r="F24" s="6">
        <f>+VLOOKUP($B24,MNG!$B$7:$M$61,5,0)</f>
        <v>151759728</v>
      </c>
      <c r="G24" s="6">
        <f>+VLOOKUP($B24,MNG!$B$7:$M$61,6,0)</f>
        <v>3613383.75</v>
      </c>
      <c r="H24" s="6">
        <f>+VLOOKUP($B24,MNG!$B$7:$M$61,7,0)</f>
        <v>443632508.81999999</v>
      </c>
      <c r="I24" s="6">
        <f>+VLOOKUP($B24,MNG!$B$7:$M$61,8,0)</f>
        <v>425519125.06999999</v>
      </c>
      <c r="J24" s="6">
        <f>+VLOOKUP($B24,MNG!$B$7:$M$61,9,0)</f>
        <v>14074119.109999999</v>
      </c>
      <c r="K24" s="6">
        <f>+VLOOKUP($B24,MNG!$B$7:$M$61,10,0)</f>
        <v>11241789.220000001</v>
      </c>
      <c r="L24" s="6">
        <f>+VLOOKUP($B24,MNG!$B$7:$M$61,11,0)</f>
        <v>4114289.11</v>
      </c>
      <c r="M24" s="6">
        <f>+VLOOKUP($B24,MNG!$B$7:$M$61,12,0)</f>
        <v>365804.89</v>
      </c>
    </row>
    <row r="25" spans="1:13" s="7" customFormat="1" ht="14.25" customHeight="1" x14ac:dyDescent="0.25">
      <c r="A25" s="4">
        <f t="shared" si="0"/>
        <v>19</v>
      </c>
      <c r="B25" s="27" t="s">
        <v>93</v>
      </c>
      <c r="C25" s="28" t="s">
        <v>167</v>
      </c>
      <c r="D25" s="6">
        <f>+VLOOKUP(B25,MNG!$B$7:$M$61,3,0)</f>
        <v>132783700.00000001</v>
      </c>
      <c r="E25" s="6">
        <f>+VLOOKUP($B25,MNG!$B$7:$M$61,4,0)</f>
        <v>112947800</v>
      </c>
      <c r="F25" s="6">
        <f>+VLOOKUP($B25,MNG!$B$7:$M$61,5,0)</f>
        <v>19835900</v>
      </c>
      <c r="G25" s="6">
        <f>+VLOOKUP($B25,MNG!$B$7:$M$61,6,0)</f>
        <v>2279900</v>
      </c>
      <c r="H25" s="6">
        <f>+VLOOKUP($B25,MNG!$B$7:$M$61,7,0)</f>
        <v>2279900</v>
      </c>
      <c r="I25" s="6">
        <f>+VLOOKUP($B25,MNG!$B$7:$M$61,8,0)</f>
        <v>130503800</v>
      </c>
      <c r="J25" s="6">
        <f>+VLOOKUP($B25,MNG!$B$7:$M$61,9,0)</f>
        <v>64590500</v>
      </c>
      <c r="K25" s="6">
        <f>+VLOOKUP($B25,MNG!$B$7:$M$61,10,0)</f>
        <v>10255700</v>
      </c>
      <c r="L25" s="6">
        <f>+VLOOKUP($B25,MNG!$B$7:$M$61,11,0)</f>
        <v>12196400</v>
      </c>
      <c r="M25" s="6">
        <f>+VLOOKUP($B25,MNG!$B$7:$M$61,12,0)</f>
        <v>236300</v>
      </c>
    </row>
    <row r="26" spans="1:13" s="7" customFormat="1" ht="14.25" customHeight="1" x14ac:dyDescent="0.25">
      <c r="A26" s="4">
        <f t="shared" si="0"/>
        <v>20</v>
      </c>
      <c r="B26" s="27" t="s">
        <v>83</v>
      </c>
      <c r="C26" s="28" t="s">
        <v>155</v>
      </c>
      <c r="D26" s="6">
        <f>+VLOOKUP(B26,MNG!$B$7:$M$61,3,0)</f>
        <v>145634725.34</v>
      </c>
      <c r="E26" s="6">
        <f>+VLOOKUP($B26,MNG!$B$7:$M$61,4,0)</f>
        <v>136283216.34</v>
      </c>
      <c r="F26" s="6">
        <f>+VLOOKUP($B26,MNG!$B$7:$M$61,5,0)</f>
        <v>9351509</v>
      </c>
      <c r="G26" s="6">
        <f>+VLOOKUP($B26,MNG!$B$7:$M$61,6,0)</f>
        <v>17007.150000000001</v>
      </c>
      <c r="H26" s="6">
        <f>+VLOOKUP($B26,MNG!$B$7:$M$61,7,0)</f>
        <v>17007.150000000001</v>
      </c>
      <c r="I26" s="6">
        <f>+VLOOKUP($B26,MNG!$B$7:$M$61,8,0)</f>
        <v>145617718.19</v>
      </c>
      <c r="J26" s="6">
        <f>+VLOOKUP($B26,MNG!$B$7:$M$61,9,0)</f>
        <v>28273719.260000002</v>
      </c>
      <c r="K26" s="6">
        <f>+VLOOKUP($B26,MNG!$B$7:$M$61,10,0)</f>
        <v>28940760.399999999</v>
      </c>
      <c r="L26" s="6">
        <f>+VLOOKUP($B26,MNG!$B$7:$M$61,11,0)</f>
        <v>28273719.260000002</v>
      </c>
      <c r="M26" s="6">
        <f>+VLOOKUP($B26,MNG!$B$7:$M$61,12,0)</f>
        <v>153064.32999999999</v>
      </c>
    </row>
    <row r="27" spans="1:13" s="7" customFormat="1" ht="14.25" customHeight="1" x14ac:dyDescent="0.25">
      <c r="A27" s="4">
        <f>A60+1</f>
        <v>40</v>
      </c>
      <c r="B27" s="27" t="s">
        <v>56</v>
      </c>
      <c r="C27" s="28" t="s">
        <v>56</v>
      </c>
      <c r="D27" s="6">
        <f>+VLOOKUP(B27,MNG!$B$7:$M$61,3,0)</f>
        <v>280968974.83999997</v>
      </c>
      <c r="E27" s="6">
        <f>+VLOOKUP($B27,MNG!$B$7:$M$61,4,0)</f>
        <v>280968974.83999997</v>
      </c>
      <c r="F27" s="6">
        <f>+VLOOKUP($B27,MNG!$B$7:$M$61,5,0)</f>
        <v>0</v>
      </c>
      <c r="G27" s="6">
        <f>+VLOOKUP($B27,MNG!$B$7:$M$61,6,0)</f>
        <v>91431156.700000003</v>
      </c>
      <c r="H27" s="6">
        <f>+VLOOKUP($B27,MNG!$B$7:$M$61,7,0)</f>
        <v>91431156.700000003</v>
      </c>
      <c r="I27" s="6">
        <f>+VLOOKUP($B27,MNG!$B$7:$M$61,8,0)</f>
        <v>189537818.13999999</v>
      </c>
      <c r="J27" s="6">
        <f>+VLOOKUP($B27,MNG!$B$7:$M$61,9,0)</f>
        <v>13435276.789999999</v>
      </c>
      <c r="K27" s="6">
        <f>+VLOOKUP($B27,MNG!$B$7:$M$61,10,0)</f>
        <v>18445061.34</v>
      </c>
      <c r="L27" s="6">
        <f>+VLOOKUP($B27,MNG!$B$7:$M$61,11,0)</f>
        <v>11603835.5</v>
      </c>
      <c r="M27" s="6">
        <f>+VLOOKUP($B27,MNG!$B$7:$M$61,12,0)</f>
        <v>-905966.25</v>
      </c>
    </row>
    <row r="28" spans="1:13" ht="14.25" customHeight="1" x14ac:dyDescent="0.25">
      <c r="A28" s="4">
        <f t="shared" si="0"/>
        <v>41</v>
      </c>
      <c r="B28" s="27" t="s">
        <v>46</v>
      </c>
      <c r="C28" s="28" t="s">
        <v>147</v>
      </c>
      <c r="D28" s="6">
        <f>+VLOOKUP(B28,MNG!$B$7:$M$61,3,0)</f>
        <v>0</v>
      </c>
      <c r="E28" s="6">
        <f>+VLOOKUP($B28,MNG!$B$7:$M$61,4,0)</f>
        <v>0</v>
      </c>
      <c r="F28" s="6">
        <f>+VLOOKUP($B28,MNG!$B$7:$M$61,5,0)</f>
        <v>381815264.77999997</v>
      </c>
      <c r="G28" s="6">
        <f>+VLOOKUP($B28,MNG!$B$7:$M$61,6,0)</f>
        <v>465240932.5</v>
      </c>
      <c r="H28" s="6">
        <f>+VLOOKUP($B28,MNG!$B$7:$M$61,7,0)</f>
        <v>465240932.5</v>
      </c>
      <c r="I28" s="6">
        <f>+VLOOKUP($B28,MNG!$B$7:$M$61,8,0)</f>
        <v>-83425667.700000003</v>
      </c>
      <c r="J28" s="6">
        <f>+VLOOKUP($B28,MNG!$B$7:$M$61,9,0)</f>
        <v>3130710.41</v>
      </c>
      <c r="K28" s="6">
        <f>+VLOOKUP($B28,MNG!$B$7:$M$61,10,0)</f>
        <v>6402881.9800000004</v>
      </c>
      <c r="L28" s="6">
        <f>+VLOOKUP($B28,MNG!$B$7:$M$61,11,0)</f>
        <v>3074074.55</v>
      </c>
      <c r="M28" s="6">
        <f>+VLOOKUP($B28,MNG!$B$7:$M$61,12,0)</f>
        <v>-1675953.69</v>
      </c>
    </row>
    <row r="29" spans="1:13" ht="14.25" customHeight="1" x14ac:dyDescent="0.25">
      <c r="A29" s="4">
        <f t="shared" si="0"/>
        <v>42</v>
      </c>
      <c r="B29" s="27" t="s">
        <v>97</v>
      </c>
      <c r="C29" s="28" t="s">
        <v>170</v>
      </c>
      <c r="D29" s="6">
        <f>+VLOOKUP(B29,MNG!$B$7:$M$61,3,0)</f>
        <v>680113387.11000001</v>
      </c>
      <c r="E29" s="6">
        <f>+VLOOKUP($B29,MNG!$B$7:$M$61,4,0)</f>
        <v>438706044.25999999</v>
      </c>
      <c r="F29" s="6">
        <f>+VLOOKUP($B29,MNG!$B$7:$M$61,5,0)</f>
        <v>241407342.84999999</v>
      </c>
      <c r="G29" s="6">
        <f>+VLOOKUP($B29,MNG!$B$7:$M$61,6,0)</f>
        <v>306362652.42000002</v>
      </c>
      <c r="H29" s="6">
        <f>+VLOOKUP($B29,MNG!$B$7:$M$61,7,0)</f>
        <v>306362652.42000002</v>
      </c>
      <c r="I29" s="6">
        <f>+VLOOKUP($B29,MNG!$B$7:$M$61,8,0)</f>
        <v>373750734.68000001</v>
      </c>
      <c r="J29" s="6">
        <f>+VLOOKUP($B29,MNG!$B$7:$M$61,9,0)</f>
        <v>39601383.119999997</v>
      </c>
      <c r="K29" s="6">
        <f>+VLOOKUP($B29,MNG!$B$7:$M$61,10,0)</f>
        <v>38119344.369999997</v>
      </c>
      <c r="L29" s="6">
        <f>+VLOOKUP($B29,MNG!$B$7:$M$61,11,0)</f>
        <v>39601383.119999997</v>
      </c>
      <c r="M29" s="6">
        <f>+VLOOKUP($B29,MNG!$B$7:$M$61,12,0)</f>
        <v>-1857704.38</v>
      </c>
    </row>
    <row r="30" spans="1:13" ht="14.25" customHeight="1" x14ac:dyDescent="0.25">
      <c r="A30" s="4">
        <f t="shared" si="0"/>
        <v>43</v>
      </c>
      <c r="B30" s="27" t="s">
        <v>42</v>
      </c>
      <c r="C30" s="28" t="s">
        <v>160</v>
      </c>
      <c r="D30" s="6">
        <f>+VLOOKUP(B30,MNG!$B$7:$M$61,3,0)</f>
        <v>669929948.69000006</v>
      </c>
      <c r="E30" s="6">
        <f>+VLOOKUP($B30,MNG!$B$7:$M$61,4,0)</f>
        <v>668929948.69000006</v>
      </c>
      <c r="F30" s="6">
        <f>+VLOOKUP($B30,MNG!$B$7:$M$61,5,0)</f>
        <v>1000000</v>
      </c>
      <c r="G30" s="6">
        <f>+VLOOKUP($B30,MNG!$B$7:$M$61,6,0)</f>
        <v>210948300.19</v>
      </c>
      <c r="H30" s="6">
        <f>+VLOOKUP($B30,MNG!$B$7:$M$61,7,0)</f>
        <v>226765965.09999999</v>
      </c>
      <c r="I30" s="6">
        <f>+VLOOKUP($B30,MNG!$B$7:$M$61,8,0)</f>
        <v>443163983.58999997</v>
      </c>
      <c r="J30" s="6">
        <f>+VLOOKUP($B30,MNG!$B$7:$M$61,9,0)</f>
        <v>760972.98</v>
      </c>
      <c r="K30" s="6">
        <f>+VLOOKUP($B30,MNG!$B$7:$M$61,10,0)</f>
        <v>3971479.34</v>
      </c>
      <c r="L30" s="6">
        <f>+VLOOKUP($B30,MNG!$B$7:$M$61,11,0)</f>
        <v>430000</v>
      </c>
      <c r="M30" s="6">
        <f>+VLOOKUP($B30,MNG!$B$7:$M$61,12,0)</f>
        <v>-8050571.7599999998</v>
      </c>
    </row>
    <row r="31" spans="1:13" s="7" customFormat="1" ht="14.25" customHeight="1" x14ac:dyDescent="0.25">
      <c r="A31" s="4">
        <f t="shared" si="0"/>
        <v>44</v>
      </c>
      <c r="B31" s="27" t="s">
        <v>192</v>
      </c>
      <c r="C31" s="28" t="s">
        <v>197</v>
      </c>
      <c r="D31" s="6"/>
      <c r="E31" s="6">
        <f>+VLOOKUP($B31,MNG!$B$7:$M$61,4,0)</f>
        <v>76931710.040000007</v>
      </c>
      <c r="F31" s="6">
        <f>+VLOOKUP($B31,MNG!$B$7:$M$61,5,0)</f>
        <v>1542494</v>
      </c>
      <c r="G31" s="6">
        <f>+VLOOKUP($B31,MNG!$B$7:$M$61,6,0)</f>
        <v>15205169</v>
      </c>
      <c r="H31" s="6">
        <f>+VLOOKUP($B31,MNG!$B$7:$M$61,7,0)</f>
        <v>15205169</v>
      </c>
      <c r="I31" s="6">
        <f>+VLOOKUP($B31,MNG!$B$7:$M$61,8,0)</f>
        <v>63269035.039999999</v>
      </c>
      <c r="J31" s="6">
        <f>+VLOOKUP($B31,MNG!$B$7:$M$61,9,0)</f>
        <v>1399439.24</v>
      </c>
      <c r="K31" s="6">
        <f>+VLOOKUP($B31,MNG!$B$7:$M$61,10,0)</f>
        <v>4986394.3</v>
      </c>
      <c r="L31" s="6">
        <f>+VLOOKUP($B31,MNG!$B$7:$M$61,11,0)</f>
        <v>1399439.24</v>
      </c>
      <c r="M31" s="6">
        <f>+VLOOKUP($B31,MNG!$B$7:$M$61,12,0)</f>
        <v>-8476443.0600000005</v>
      </c>
    </row>
    <row r="32" spans="1:13" s="7" customFormat="1" ht="14.25" customHeight="1" x14ac:dyDescent="0.25">
      <c r="A32" s="4">
        <f t="shared" si="0"/>
        <v>45</v>
      </c>
      <c r="B32" s="27" t="s">
        <v>38</v>
      </c>
      <c r="C32" s="28" t="s">
        <v>159</v>
      </c>
      <c r="D32" s="6">
        <f>+VLOOKUP(B32,MNG!$B$7:$M$61,3,0)</f>
        <v>367458668.69999999</v>
      </c>
      <c r="E32" s="6">
        <f>+VLOOKUP($B32,MNG!$B$7:$M$61,4,0)</f>
        <v>231447711.69999999</v>
      </c>
      <c r="F32" s="6">
        <f>+VLOOKUP($B32,MNG!$B$7:$M$61,5,0)</f>
        <v>136010957</v>
      </c>
      <c r="G32" s="6">
        <f>+VLOOKUP($B32,MNG!$B$7:$M$61,6,0)</f>
        <v>133314.44</v>
      </c>
      <c r="H32" s="6">
        <f>+VLOOKUP($B32,MNG!$B$7:$M$61,7,0)</f>
        <v>133314.44</v>
      </c>
      <c r="I32" s="6">
        <f>+VLOOKUP($B32,MNG!$B$7:$M$61,8,0)</f>
        <v>367325354.25999999</v>
      </c>
      <c r="J32" s="6">
        <f>+VLOOKUP($B32,MNG!$B$7:$M$61,9,0)</f>
        <v>10751546.550000001</v>
      </c>
      <c r="K32" s="6">
        <f>+VLOOKUP($B32,MNG!$B$7:$M$61,10,0)</f>
        <v>23232610.649999999</v>
      </c>
      <c r="L32" s="6">
        <f>+VLOOKUP($B32,MNG!$B$7:$M$61,11,0)</f>
        <v>1747946.55</v>
      </c>
      <c r="M32" s="6">
        <f>+VLOOKUP($B32,MNG!$B$7:$M$61,12,0)</f>
        <v>-8546664.0999999996</v>
      </c>
    </row>
    <row r="33" spans="1:13" ht="14.25" customHeight="1" x14ac:dyDescent="0.25">
      <c r="A33" s="4">
        <f t="shared" si="0"/>
        <v>46</v>
      </c>
      <c r="B33" s="27" t="s">
        <v>67</v>
      </c>
      <c r="C33" s="28" t="s">
        <v>67</v>
      </c>
      <c r="D33" s="6">
        <f>+VLOOKUP(B33,MNG!$B$7:$M$61,3,0)</f>
        <v>368712284</v>
      </c>
      <c r="E33" s="6">
        <f>+VLOOKUP($B33,MNG!$B$7:$M$61,4,0)</f>
        <v>351450474</v>
      </c>
      <c r="F33" s="6">
        <f>+VLOOKUP($B33,MNG!$B$7:$M$61,5,0)</f>
        <v>17261810</v>
      </c>
      <c r="G33" s="6">
        <f>+VLOOKUP($B33,MNG!$B$7:$M$61,6,0)</f>
        <v>109544620</v>
      </c>
      <c r="H33" s="6">
        <f>+VLOOKUP($B33,MNG!$B$7:$M$61,7,0)</f>
        <v>109544620</v>
      </c>
      <c r="I33" s="6">
        <f>+VLOOKUP($B33,MNG!$B$7:$M$61,8,0)</f>
        <v>259167664</v>
      </c>
      <c r="J33" s="6">
        <f>+VLOOKUP($B33,MNG!$B$7:$M$61,9,0)</f>
        <v>352800</v>
      </c>
      <c r="K33" s="6">
        <f>+VLOOKUP($B33,MNG!$B$7:$M$61,10,0)</f>
        <v>11424040</v>
      </c>
      <c r="L33" s="6">
        <f>+VLOOKUP($B33,MNG!$B$7:$M$61,11,0)</f>
        <v>352800</v>
      </c>
      <c r="M33" s="6">
        <f>+VLOOKUP($B33,MNG!$B$7:$M$61,12,0)</f>
        <v>-10614600</v>
      </c>
    </row>
    <row r="34" spans="1:13" ht="14.25" customHeight="1" x14ac:dyDescent="0.25">
      <c r="A34" s="4">
        <f t="shared" si="0"/>
        <v>47</v>
      </c>
      <c r="B34" s="27" t="s">
        <v>87</v>
      </c>
      <c r="C34" s="28" t="s">
        <v>166</v>
      </c>
      <c r="D34" s="6">
        <f>+VLOOKUP(B34,MNG!$B$7:$M$61,3,0)</f>
        <v>22458924.870000001</v>
      </c>
      <c r="E34" s="6">
        <f>+VLOOKUP($B34,MNG!$B$7:$M$61,4,0)</f>
        <v>18997124.870000001</v>
      </c>
      <c r="F34" s="6">
        <f>+VLOOKUP($B34,MNG!$B$7:$M$61,5,0)</f>
        <v>3461800</v>
      </c>
      <c r="G34" s="6">
        <f>+VLOOKUP($B34,MNG!$B$7:$M$61,6,0)</f>
        <v>2528233.2200000002</v>
      </c>
      <c r="H34" s="6">
        <f>+VLOOKUP($B34,MNG!$B$7:$M$61,7,0)</f>
        <v>2370197.2200000002</v>
      </c>
      <c r="I34" s="6">
        <f>+VLOOKUP($B34,MNG!$B$7:$M$61,8,0)</f>
        <v>20088727.649999999</v>
      </c>
      <c r="J34" s="6">
        <f>+VLOOKUP($B34,MNG!$B$7:$M$61,9,0)</f>
        <v>2290546.66</v>
      </c>
      <c r="K34" s="6">
        <f>+VLOOKUP($B34,MNG!$B$7:$M$61,10,0)</f>
        <v>11927132.939999999</v>
      </c>
      <c r="L34" s="6">
        <f>+VLOOKUP($B34,MNG!$B$7:$M$61,11,0)</f>
        <v>2109369.4900000002</v>
      </c>
      <c r="M34" s="6">
        <f>+VLOOKUP($B34,MNG!$B$7:$M$61,12,0)</f>
        <v>-11828535</v>
      </c>
    </row>
    <row r="35" spans="1:13" ht="14.25" customHeight="1" x14ac:dyDescent="0.25">
      <c r="A35" s="4">
        <f t="shared" si="0"/>
        <v>48</v>
      </c>
      <c r="B35" s="27" t="s">
        <v>54</v>
      </c>
      <c r="C35" s="28" t="s">
        <v>156</v>
      </c>
      <c r="D35" s="6">
        <f>+VLOOKUP(B35,MNG!$B$7:$M$61,3,0)</f>
        <v>1382974119.1199999</v>
      </c>
      <c r="E35" s="6">
        <f>+VLOOKUP($B35,MNG!$B$7:$M$61,4,0)</f>
        <v>1374262245.02</v>
      </c>
      <c r="F35" s="6">
        <f>+VLOOKUP($B35,MNG!$B$7:$M$61,5,0)</f>
        <v>8711874.0999999996</v>
      </c>
      <c r="G35" s="6">
        <f>+VLOOKUP($B35,MNG!$B$7:$M$61,6,0)</f>
        <v>0</v>
      </c>
      <c r="H35" s="6">
        <f>+VLOOKUP($B35,MNG!$B$7:$M$61,7,0)</f>
        <v>0</v>
      </c>
      <c r="I35" s="6">
        <f>+VLOOKUP($B35,MNG!$B$7:$M$61,8,0)</f>
        <v>1382974119.1199999</v>
      </c>
      <c r="J35" s="6">
        <f>+VLOOKUP($B35,MNG!$B$7:$M$61,9,0)</f>
        <v>30996490</v>
      </c>
      <c r="K35" s="6">
        <f>+VLOOKUP($B35,MNG!$B$7:$M$61,10,0)</f>
        <v>39302399.060000002</v>
      </c>
      <c r="L35" s="6">
        <f>+VLOOKUP($B35,MNG!$B$7:$M$61,11,0)</f>
        <v>30996490</v>
      </c>
      <c r="M35" s="6">
        <f>+VLOOKUP($B35,MNG!$B$7:$M$61,12,0)</f>
        <v>-18614552</v>
      </c>
    </row>
    <row r="36" spans="1:13" s="7" customFormat="1" ht="14.25" customHeight="1" x14ac:dyDescent="0.25">
      <c r="A36" s="4">
        <f t="shared" si="0"/>
        <v>49</v>
      </c>
      <c r="B36" s="4" t="s">
        <v>178</v>
      </c>
      <c r="C36" s="28" t="s">
        <v>181</v>
      </c>
      <c r="D36" s="6">
        <f>+VLOOKUP(B36,MNG!$B$7:$M$61,3,0)</f>
        <v>1610599241.1500001</v>
      </c>
      <c r="E36" s="6">
        <f>+VLOOKUP($B36,MNG!$B$7:$M$61,4,0)</f>
        <v>1592931641.22</v>
      </c>
      <c r="F36" s="6">
        <f>+VLOOKUP($B36,MNG!$B$7:$M$61,5,0)</f>
        <v>17667599.93</v>
      </c>
      <c r="G36" s="6">
        <f>+VLOOKUP($B36,MNG!$B$7:$M$61,6,0)</f>
        <v>79073416.790000007</v>
      </c>
      <c r="H36" s="6">
        <f>+VLOOKUP($B36,MNG!$B$7:$M$61,7,0)</f>
        <v>79073416.790000007</v>
      </c>
      <c r="I36" s="6">
        <f>+VLOOKUP($B36,MNG!$B$7:$M$61,8,0)</f>
        <v>1531525824.3599999</v>
      </c>
      <c r="J36" s="6">
        <f>+VLOOKUP($B36,MNG!$B$7:$M$61,9,0)</f>
        <v>117275287.06</v>
      </c>
      <c r="K36" s="6">
        <f>+VLOOKUP($B36,MNG!$B$7:$M$61,10,0)</f>
        <v>331870233.19</v>
      </c>
      <c r="L36" s="6">
        <f>+VLOOKUP($B36,MNG!$B$7:$M$61,11,0)</f>
        <v>22243513.649999999</v>
      </c>
      <c r="M36" s="6">
        <f>+VLOOKUP($B36,MNG!$B$7:$M$61,12,0)</f>
        <v>-61839420.060000002</v>
      </c>
    </row>
    <row r="37" spans="1:13" s="7" customFormat="1" ht="14.25" customHeight="1" x14ac:dyDescent="0.25">
      <c r="A37" s="4">
        <f t="shared" si="0"/>
        <v>50</v>
      </c>
      <c r="B37" s="27" t="s">
        <v>58</v>
      </c>
      <c r="C37" s="28" t="s">
        <v>137</v>
      </c>
      <c r="D37" s="6">
        <f>+VLOOKUP(B37,MNG!$B$7:$M$61,3,0)</f>
        <v>383841576.32999998</v>
      </c>
      <c r="E37" s="6">
        <f>+VLOOKUP($B37,MNG!$B$7:$M$61,4,0)</f>
        <v>373314625.63</v>
      </c>
      <c r="F37" s="6">
        <f>+VLOOKUP($B37,MNG!$B$7:$M$61,5,0)</f>
        <v>10526950.699999999</v>
      </c>
      <c r="G37" s="6">
        <f>+VLOOKUP($B37,MNG!$B$7:$M$61,6,0)</f>
        <v>8655256.3599999994</v>
      </c>
      <c r="H37" s="6">
        <f>+VLOOKUP($B37,MNG!$B$7:$M$61,7,0)</f>
        <v>8655256.3599999994</v>
      </c>
      <c r="I37" s="6">
        <f>+VLOOKUP($B37,MNG!$B$7:$M$61,8,0)</f>
        <v>375186319.97000003</v>
      </c>
      <c r="J37" s="6">
        <f>+VLOOKUP($B37,MNG!$B$7:$M$61,9,0)</f>
        <v>288199262.80000001</v>
      </c>
      <c r="K37" s="6">
        <f>+VLOOKUP($B37,MNG!$B$7:$M$61,10,0)</f>
        <v>104048762.23</v>
      </c>
      <c r="L37" s="6">
        <f>+VLOOKUP($B37,MNG!$B$7:$M$61,11,0)</f>
        <v>3928138.48</v>
      </c>
      <c r="M37" s="6">
        <f>+VLOOKUP($B37,MNG!$B$7:$M$61,12,0)</f>
        <v>-78332443.709999993</v>
      </c>
    </row>
    <row r="38" spans="1:13" ht="14.25" customHeight="1" x14ac:dyDescent="0.25">
      <c r="A38" s="4">
        <f t="shared" si="0"/>
        <v>51</v>
      </c>
      <c r="B38" s="27" t="s">
        <v>18</v>
      </c>
      <c r="C38" s="28" t="s">
        <v>143</v>
      </c>
      <c r="D38" s="6">
        <f>+VLOOKUP(B38,MNG!$B$7:$M$61,3,0)</f>
        <v>3228172249.7600002</v>
      </c>
      <c r="E38" s="6">
        <f>+VLOOKUP($B38,MNG!$B$7:$M$61,4,0)</f>
        <v>2972434582.1999998</v>
      </c>
      <c r="F38" s="6">
        <f>+VLOOKUP($B38,MNG!$B$7:$M$61,5,0)</f>
        <v>255737667.56</v>
      </c>
      <c r="G38" s="6">
        <f>+VLOOKUP($B38,MNG!$B$7:$M$61,6,0)</f>
        <v>865779470.49000001</v>
      </c>
      <c r="H38" s="6">
        <f>+VLOOKUP($B38,MNG!$B$7:$M$61,7,0)</f>
        <v>948081833.28999996</v>
      </c>
      <c r="I38" s="6">
        <f>+VLOOKUP($B38,MNG!$B$7:$M$61,8,0)</f>
        <v>2280090416.4699998</v>
      </c>
      <c r="J38" s="6">
        <f>+VLOOKUP($B38,MNG!$B$7:$M$61,9,0)</f>
        <v>434708758.37</v>
      </c>
      <c r="K38" s="6">
        <f>+VLOOKUP($B38,MNG!$B$7:$M$61,10,0)</f>
        <v>427001622.69999999</v>
      </c>
      <c r="L38" s="6">
        <f>+VLOOKUP($B38,MNG!$B$7:$M$61,11,0)</f>
        <v>293043148.69</v>
      </c>
      <c r="M38" s="6">
        <f>+VLOOKUP($B38,MNG!$B$7:$M$61,12,0)</f>
        <v>-78761747.980000004</v>
      </c>
    </row>
    <row r="39" spans="1:13" ht="14.25" customHeight="1" x14ac:dyDescent="0.25">
      <c r="A39" s="4">
        <f t="shared" si="0"/>
        <v>52</v>
      </c>
      <c r="B39" s="27" t="s">
        <v>28</v>
      </c>
      <c r="C39" s="28" t="s">
        <v>142</v>
      </c>
      <c r="D39" s="6">
        <f>+VLOOKUP(B39,MNG!$B$7:$M$61,3,0)</f>
        <v>858042893.38</v>
      </c>
      <c r="E39" s="6">
        <f>+VLOOKUP($B39,MNG!$B$7:$M$61,4,0)</f>
        <v>347425325.02999997</v>
      </c>
      <c r="F39" s="6">
        <f>+VLOOKUP($B39,MNG!$B$7:$M$61,5,0)</f>
        <v>50617568.350000001</v>
      </c>
      <c r="G39" s="6">
        <f>+VLOOKUP($B39,MNG!$B$7:$M$61,6,0)</f>
        <v>39659252.859999999</v>
      </c>
      <c r="H39" s="6">
        <f>+VLOOKUP($B39,MNG!$B$7:$M$61,7,0)</f>
        <v>39659252.859999999</v>
      </c>
      <c r="I39" s="6">
        <f>+VLOOKUP($B39,MNG!$B$7:$M$61,8,0)</f>
        <v>818383640.51999998</v>
      </c>
      <c r="J39" s="6">
        <f>+VLOOKUP($B39,MNG!$B$7:$M$61,9,0)</f>
        <v>65253449.670000002</v>
      </c>
      <c r="K39" s="6">
        <f>+VLOOKUP($B39,MNG!$B$7:$M$61,10,0)</f>
        <v>58567375.82</v>
      </c>
      <c r="L39" s="6">
        <f>+VLOOKUP($B39,MNG!$B$7:$M$61,11,0)</f>
        <v>57790834.409999996</v>
      </c>
      <c r="M39" s="6">
        <f>+VLOOKUP($B39,MNG!$B$7:$M$61,12,0)</f>
        <v>-125474168.81999999</v>
      </c>
    </row>
    <row r="40" spans="1:13" ht="14.25" customHeight="1" x14ac:dyDescent="0.25">
      <c r="A40" s="4">
        <f t="shared" si="0"/>
        <v>53</v>
      </c>
      <c r="B40" s="27" t="s">
        <v>20</v>
      </c>
      <c r="C40" s="28" t="s">
        <v>158</v>
      </c>
      <c r="D40" s="6">
        <f>+VLOOKUP(B40,MNG!$B$7:$M$61,3,0)</f>
        <v>1168794585.0799999</v>
      </c>
      <c r="E40" s="6">
        <f>+VLOOKUP($B40,MNG!$B$7:$M$61,4,0)</f>
        <v>1147940772.45</v>
      </c>
      <c r="F40" s="6">
        <f>+VLOOKUP($B40,MNG!$B$7:$M$61,5,0)</f>
        <v>20853812.629999999</v>
      </c>
      <c r="G40" s="6">
        <f>+VLOOKUP($B40,MNG!$B$7:$M$61,6,0)</f>
        <v>422923968.88</v>
      </c>
      <c r="H40" s="6">
        <f>+VLOOKUP($B40,MNG!$B$7:$M$61,7,0)</f>
        <v>1071967100.55</v>
      </c>
      <c r="I40" s="6">
        <f>+VLOOKUP($B40,MNG!$B$7:$M$61,8,0)</f>
        <v>96827484.530000001</v>
      </c>
      <c r="J40" s="6">
        <f>+VLOOKUP($B40,MNG!$B$7:$M$61,9,0)</f>
        <v>819587900.02999997</v>
      </c>
      <c r="K40" s="6">
        <f>+VLOOKUP($B40,MNG!$B$7:$M$61,10,0)</f>
        <v>112221407.42</v>
      </c>
      <c r="L40" s="6">
        <f>+VLOOKUP($B40,MNG!$B$7:$M$61,11,0)</f>
        <v>700587900.02999997</v>
      </c>
      <c r="M40" s="6">
        <f>+VLOOKUP($B40,MNG!$B$7:$M$61,12,0)</f>
        <v>-1088639206.48</v>
      </c>
    </row>
    <row r="41" spans="1:13" ht="14.25" customHeight="1" x14ac:dyDescent="0.25">
      <c r="A41" s="4">
        <f t="shared" si="0"/>
        <v>54</v>
      </c>
      <c r="B41" s="27" t="s">
        <v>8</v>
      </c>
      <c r="C41" s="28" t="s">
        <v>141</v>
      </c>
      <c r="D41" s="6">
        <f>+VLOOKUP(B41,MNG!$B$7:$M$61,3,0)</f>
        <v>29749995103.990002</v>
      </c>
      <c r="E41" s="6">
        <f>+VLOOKUP($B41,MNG!$B$7:$M$61,4,0)</f>
        <v>28213866810.77</v>
      </c>
      <c r="F41" s="6">
        <f>+VLOOKUP($B41,MNG!$B$7:$M$61,5,0)</f>
        <v>1536128293.22</v>
      </c>
      <c r="G41" s="6">
        <f>+VLOOKUP($B41,MNG!$B$7:$M$61,6,0)</f>
        <v>9697769984.8400002</v>
      </c>
      <c r="H41" s="6">
        <f>+VLOOKUP($B41,MNG!$B$7:$M$61,7,0)</f>
        <v>10288398326.709999</v>
      </c>
      <c r="I41" s="6">
        <f>+VLOOKUP($B41,MNG!$B$7:$M$61,8,0)</f>
        <v>19461596777.279999</v>
      </c>
      <c r="J41" s="6">
        <f>+VLOOKUP($B41,MNG!$B$7:$M$61,9,0)</f>
        <v>748615160.78999996</v>
      </c>
      <c r="K41" s="6">
        <f>+VLOOKUP($B41,MNG!$B$7:$M$61,10,0)</f>
        <v>878108116.44000006</v>
      </c>
      <c r="L41" s="6">
        <f>+VLOOKUP($B41,MNG!$B$7:$M$61,11,0)</f>
        <v>-3272532121.4699998</v>
      </c>
      <c r="M41" s="6">
        <f>+VLOOKUP($B41,MNG!$B$7:$M$61,12,0)</f>
        <v>-3501132235.5599999</v>
      </c>
    </row>
    <row r="42" spans="1:13" s="7" customFormat="1" ht="14.25" customHeight="1" x14ac:dyDescent="0.25">
      <c r="A42" s="4">
        <f>A26+1</f>
        <v>21</v>
      </c>
      <c r="B42" s="27" t="s">
        <v>50</v>
      </c>
      <c r="C42" s="28" t="s">
        <v>148</v>
      </c>
      <c r="D42" s="6">
        <f>+VLOOKUP(B42,MNG!$B$7:$M$61,3,0)</f>
        <v>0</v>
      </c>
      <c r="E42" s="6">
        <f>+VLOOKUP($B42,MNG!$B$7:$M$61,4,0)</f>
        <v>0</v>
      </c>
      <c r="F42" s="6">
        <f>+VLOOKUP($B42,MNG!$B$7:$M$61,5,0)</f>
        <v>0</v>
      </c>
      <c r="G42" s="6">
        <f>+VLOOKUP($B42,MNG!$B$7:$M$61,6,0)</f>
        <v>0</v>
      </c>
      <c r="H42" s="6">
        <f>+VLOOKUP($B42,MNG!$B$7:$M$61,7,0)</f>
        <v>0</v>
      </c>
      <c r="I42" s="6">
        <f>+VLOOKUP($B42,MNG!$B$7:$M$61,8,0)</f>
        <v>0</v>
      </c>
      <c r="J42" s="6">
        <f>+VLOOKUP($B42,MNG!$B$7:$M$61,9,0)</f>
        <v>0</v>
      </c>
      <c r="K42" s="6">
        <f>+VLOOKUP($B42,MNG!$B$7:$M$61,10,0)</f>
        <v>0</v>
      </c>
      <c r="L42" s="6">
        <f>+VLOOKUP($B42,MNG!$B$7:$M$61,11,0)</f>
        <v>0</v>
      </c>
      <c r="M42" s="6">
        <f>+VLOOKUP($B42,MNG!$B$7:$M$61,12,0)</f>
        <v>0</v>
      </c>
    </row>
    <row r="43" spans="1:13" s="7" customFormat="1" ht="14.25" customHeight="1" x14ac:dyDescent="0.25">
      <c r="A43" s="4">
        <f>A42+1</f>
        <v>22</v>
      </c>
      <c r="B43" s="27" t="s">
        <v>40</v>
      </c>
      <c r="C43" s="28" t="s">
        <v>153</v>
      </c>
      <c r="D43" s="6">
        <f>+VLOOKUP(B43,MNG!$B$7:$M$61,3,0)</f>
        <v>0</v>
      </c>
      <c r="E43" s="6">
        <f>+VLOOKUP($B43,MNG!$B$7:$M$61,4,0)</f>
        <v>0</v>
      </c>
      <c r="F43" s="6">
        <f>+VLOOKUP($B43,MNG!$B$7:$M$61,5,0)</f>
        <v>0</v>
      </c>
      <c r="G43" s="6">
        <f>+VLOOKUP($B43,MNG!$B$7:$M$61,6,0)</f>
        <v>0</v>
      </c>
      <c r="H43" s="6">
        <f>+VLOOKUP($B43,MNG!$B$7:$M$61,7,0)</f>
        <v>0</v>
      </c>
      <c r="I43" s="6">
        <f>+VLOOKUP($B43,MNG!$B$7:$M$61,8,0)</f>
        <v>0</v>
      </c>
      <c r="J43" s="6">
        <f>+VLOOKUP($B43,MNG!$B$7:$M$61,9,0)</f>
        <v>0</v>
      </c>
      <c r="K43" s="6">
        <f>+VLOOKUP($B43,MNG!$B$7:$M$61,10,0)</f>
        <v>0</v>
      </c>
      <c r="L43" s="6">
        <f>+VLOOKUP($B43,MNG!$B$7:$M$61,11,0)</f>
        <v>0</v>
      </c>
      <c r="M43" s="6">
        <f>+VLOOKUP($B43,MNG!$B$7:$M$61,12,0)</f>
        <v>0</v>
      </c>
    </row>
    <row r="44" spans="1:13" s="7" customFormat="1" ht="14.25" customHeight="1" x14ac:dyDescent="0.25">
      <c r="A44" s="4">
        <f>A43+1</f>
        <v>23</v>
      </c>
      <c r="B44" s="27" t="s">
        <v>75</v>
      </c>
      <c r="C44" s="28" t="s">
        <v>168</v>
      </c>
      <c r="D44" s="6">
        <f>+VLOOKUP(B44,MNG!$B$7:$M$61,3,0)</f>
        <v>0</v>
      </c>
      <c r="E44" s="6">
        <f>+VLOOKUP($B44,MNG!$B$7:$M$61,4,0)</f>
        <v>0</v>
      </c>
      <c r="F44" s="6">
        <f>+VLOOKUP($B44,MNG!$B$7:$M$61,5,0)</f>
        <v>0</v>
      </c>
      <c r="G44" s="6">
        <f>+VLOOKUP($B44,MNG!$B$7:$M$61,6,0)</f>
        <v>0</v>
      </c>
      <c r="H44" s="6">
        <f>+VLOOKUP($B44,MNG!$B$7:$M$61,7,0)</f>
        <v>0</v>
      </c>
      <c r="I44" s="6">
        <f>+VLOOKUP($B44,MNG!$B$7:$M$61,8,0)</f>
        <v>0</v>
      </c>
      <c r="J44" s="6">
        <f>+VLOOKUP($B44,MNG!$B$7:$M$61,9,0)</f>
        <v>0</v>
      </c>
      <c r="K44" s="6">
        <f>+VLOOKUP($B44,MNG!$B$7:$M$61,10,0)</f>
        <v>0</v>
      </c>
      <c r="L44" s="6">
        <f>+VLOOKUP($B44,MNG!$B$7:$M$61,11,0)</f>
        <v>0</v>
      </c>
      <c r="M44" s="6">
        <f>+VLOOKUP($B44,MNG!$B$7:$M$61,12,0)</f>
        <v>0</v>
      </c>
    </row>
    <row r="45" spans="1:13" s="7" customFormat="1" ht="14.25" customHeight="1" x14ac:dyDescent="0.25">
      <c r="A45" s="4">
        <f>A44+1</f>
        <v>24</v>
      </c>
      <c r="B45" s="27" t="s">
        <v>36</v>
      </c>
      <c r="C45" s="28" t="s">
        <v>136</v>
      </c>
      <c r="D45" s="6">
        <f>+VLOOKUP(B45,MNG!$B$7:$M$61,3,0)</f>
        <v>0</v>
      </c>
      <c r="E45" s="6">
        <f>+VLOOKUP($B45,MNG!$B$7:$M$61,4,0)</f>
        <v>0</v>
      </c>
      <c r="F45" s="6">
        <f>+VLOOKUP($B45,MNG!$B$7:$M$61,5,0)</f>
        <v>0</v>
      </c>
      <c r="G45" s="6">
        <f>+VLOOKUP($B45,MNG!$B$7:$M$61,6,0)</f>
        <v>0</v>
      </c>
      <c r="H45" s="6">
        <f>+VLOOKUP($B45,MNG!$B$7:$M$61,7,0)</f>
        <v>0</v>
      </c>
      <c r="I45" s="6">
        <f>+VLOOKUP($B45,MNG!$B$7:$M$61,8,0)</f>
        <v>0</v>
      </c>
      <c r="J45" s="6">
        <f>+VLOOKUP($B45,MNG!$B$7:$M$61,9,0)</f>
        <v>0</v>
      </c>
      <c r="K45" s="6">
        <f>+VLOOKUP($B45,MNG!$B$7:$M$61,10,0)</f>
        <v>0</v>
      </c>
      <c r="L45" s="6">
        <f>+VLOOKUP($B45,MNG!$B$7:$M$61,11,0)</f>
        <v>0</v>
      </c>
      <c r="M45" s="6">
        <f>+VLOOKUP($B45,MNG!$B$7:$M$61,12,0)</f>
        <v>0</v>
      </c>
    </row>
    <row r="46" spans="1:13" s="7" customFormat="1" ht="14.25" customHeight="1" x14ac:dyDescent="0.25">
      <c r="A46" s="4">
        <f>A45+1</f>
        <v>25</v>
      </c>
      <c r="B46" s="27" t="s">
        <v>73</v>
      </c>
      <c r="C46" s="28" t="s">
        <v>144</v>
      </c>
      <c r="D46" s="6">
        <f>+VLOOKUP(B46,MNG!$B$7:$M$61,3,0)</f>
        <v>0</v>
      </c>
      <c r="E46" s="6">
        <f>+VLOOKUP($B46,MNG!$B$7:$M$61,4,0)</f>
        <v>0</v>
      </c>
      <c r="F46" s="6">
        <f>+VLOOKUP($B46,MNG!$B$7:$M$61,5,0)</f>
        <v>0</v>
      </c>
      <c r="G46" s="6">
        <f>+VLOOKUP($B46,MNG!$B$7:$M$61,6,0)</f>
        <v>0</v>
      </c>
      <c r="H46" s="6">
        <f>+VLOOKUP($B46,MNG!$B$7:$M$61,7,0)</f>
        <v>0</v>
      </c>
      <c r="I46" s="6">
        <f>+VLOOKUP($B46,MNG!$B$7:$M$61,8,0)</f>
        <v>0</v>
      </c>
      <c r="J46" s="6">
        <f>+VLOOKUP($B46,MNG!$B$7:$M$61,9,0)</f>
        <v>0</v>
      </c>
      <c r="K46" s="6">
        <f>+VLOOKUP($B46,MNG!$B$7:$M$61,10,0)</f>
        <v>0</v>
      </c>
      <c r="L46" s="6">
        <f>+VLOOKUP($B46,MNG!$B$7:$M$61,11,0)</f>
        <v>0</v>
      </c>
      <c r="M46" s="6">
        <f>+VLOOKUP($B46,MNG!$B$7:$M$61,12,0)</f>
        <v>0</v>
      </c>
    </row>
    <row r="47" spans="1:13" s="7" customFormat="1" ht="14.25" customHeight="1" x14ac:dyDescent="0.25">
      <c r="A47" s="4">
        <f>A46+1</f>
        <v>26</v>
      </c>
      <c r="B47" s="27" t="s">
        <v>10</v>
      </c>
      <c r="C47" s="28" t="s">
        <v>135</v>
      </c>
      <c r="D47" s="6">
        <f>+VLOOKUP(B47,MNG!$B$7:$M$61,3,0)</f>
        <v>0</v>
      </c>
      <c r="E47" s="6">
        <f>+VLOOKUP($B47,MNG!$B$7:$M$61,4,0)</f>
        <v>0</v>
      </c>
      <c r="F47" s="6">
        <f>+VLOOKUP($B47,MNG!$B$7:$M$61,5,0)</f>
        <v>0</v>
      </c>
      <c r="G47" s="6">
        <f>+VLOOKUP($B47,MNG!$B$7:$M$61,6,0)</f>
        <v>0</v>
      </c>
      <c r="H47" s="6">
        <f>+VLOOKUP($B47,MNG!$B$7:$M$61,7,0)</f>
        <v>0</v>
      </c>
      <c r="I47" s="6">
        <f>+VLOOKUP($B47,MNG!$B$7:$M$61,8,0)</f>
        <v>0</v>
      </c>
      <c r="J47" s="6">
        <f>+VLOOKUP($B47,MNG!$B$7:$M$61,9,0)</f>
        <v>0</v>
      </c>
      <c r="K47" s="6">
        <f>+VLOOKUP($B47,MNG!$B$7:$M$61,10,0)</f>
        <v>0</v>
      </c>
      <c r="L47" s="6">
        <f>+VLOOKUP($B47,MNG!$B$7:$M$61,11,0)</f>
        <v>0</v>
      </c>
      <c r="M47" s="6">
        <f>+VLOOKUP($B47,MNG!$B$7:$M$61,12,0)</f>
        <v>0</v>
      </c>
    </row>
    <row r="48" spans="1:13" s="7" customFormat="1" ht="14.25" customHeight="1" x14ac:dyDescent="0.25">
      <c r="A48" s="4">
        <f>A47+1</f>
        <v>27</v>
      </c>
      <c r="B48" s="27" t="s">
        <v>30</v>
      </c>
      <c r="C48" s="28" t="s">
        <v>30</v>
      </c>
      <c r="D48" s="6">
        <f>+VLOOKUP(B48,MNG!$B$7:$M$61,3,0)</f>
        <v>0</v>
      </c>
      <c r="E48" s="6">
        <f>+VLOOKUP($B48,MNG!$B$7:$M$61,4,0)</f>
        <v>0</v>
      </c>
      <c r="F48" s="6">
        <f>+VLOOKUP($B48,MNG!$B$7:$M$61,5,0)</f>
        <v>0</v>
      </c>
      <c r="G48" s="6">
        <f>+VLOOKUP($B48,MNG!$B$7:$M$61,6,0)</f>
        <v>0</v>
      </c>
      <c r="H48" s="6">
        <f>+VLOOKUP($B48,MNG!$B$7:$M$61,7,0)</f>
        <v>0</v>
      </c>
      <c r="I48" s="6">
        <f>+VLOOKUP($B48,MNG!$B$7:$M$61,8,0)</f>
        <v>0</v>
      </c>
      <c r="J48" s="6">
        <f>+VLOOKUP($B48,MNG!$B$7:$M$61,9,0)</f>
        <v>0</v>
      </c>
      <c r="K48" s="6">
        <f>+VLOOKUP($B48,MNG!$B$7:$M$61,10,0)</f>
        <v>0</v>
      </c>
      <c r="L48" s="6">
        <f>+VLOOKUP($B48,MNG!$B$7:$M$61,11,0)</f>
        <v>0</v>
      </c>
      <c r="M48" s="6">
        <f>+VLOOKUP($B48,MNG!$B$7:$M$61,12,0)</f>
        <v>0</v>
      </c>
    </row>
    <row r="49" spans="1:13" s="7" customFormat="1" ht="14.25" customHeight="1" x14ac:dyDescent="0.25">
      <c r="A49" s="4">
        <f>A48+1</f>
        <v>28</v>
      </c>
      <c r="B49" s="27" t="s">
        <v>71</v>
      </c>
      <c r="C49" s="28" t="s">
        <v>71</v>
      </c>
      <c r="D49" s="6">
        <f>+VLOOKUP(B49,MNG!$B$7:$M$61,3,0)</f>
        <v>0</v>
      </c>
      <c r="E49" s="6">
        <f>+VLOOKUP($B49,MNG!$B$7:$M$61,4,0)</f>
        <v>0</v>
      </c>
      <c r="F49" s="6">
        <f>+VLOOKUP($B49,MNG!$B$7:$M$61,5,0)</f>
        <v>0</v>
      </c>
      <c r="G49" s="6">
        <f>+VLOOKUP($B49,MNG!$B$7:$M$61,6,0)</f>
        <v>0</v>
      </c>
      <c r="H49" s="6">
        <f>+VLOOKUP($B49,MNG!$B$7:$M$61,7,0)</f>
        <v>0</v>
      </c>
      <c r="I49" s="6">
        <f>+VLOOKUP($B49,MNG!$B$7:$M$61,8,0)</f>
        <v>0</v>
      </c>
      <c r="J49" s="6">
        <f>+VLOOKUP($B49,MNG!$B$7:$M$61,9,0)</f>
        <v>0</v>
      </c>
      <c r="K49" s="6">
        <f>+VLOOKUP($B49,MNG!$B$7:$M$61,10,0)</f>
        <v>0</v>
      </c>
      <c r="L49" s="6">
        <f>+VLOOKUP($B49,MNG!$B$7:$M$61,11,0)</f>
        <v>0</v>
      </c>
      <c r="M49" s="6">
        <f>+VLOOKUP($B49,MNG!$B$7:$M$61,12,0)</f>
        <v>0</v>
      </c>
    </row>
    <row r="50" spans="1:13" ht="14.25" customHeight="1" x14ac:dyDescent="0.25">
      <c r="A50" s="4">
        <f>A49+1</f>
        <v>29</v>
      </c>
      <c r="B50" s="27" t="s">
        <v>52</v>
      </c>
      <c r="C50" s="28" t="s">
        <v>165</v>
      </c>
      <c r="D50" s="6">
        <f>+VLOOKUP(B50,MNG!$B$7:$M$61,3,0)</f>
        <v>0</v>
      </c>
      <c r="E50" s="6">
        <f>+VLOOKUP($B50,MNG!$B$7:$M$61,4,0)</f>
        <v>0</v>
      </c>
      <c r="F50" s="6">
        <f>+VLOOKUP($B50,MNG!$B$7:$M$61,5,0)</f>
        <v>0</v>
      </c>
      <c r="G50" s="6">
        <f>+VLOOKUP($B50,MNG!$B$7:$M$61,6,0)</f>
        <v>0</v>
      </c>
      <c r="H50" s="6">
        <f>+VLOOKUP($B50,MNG!$B$7:$M$61,7,0)</f>
        <v>0</v>
      </c>
      <c r="I50" s="6">
        <f>+VLOOKUP($B50,MNG!$B$7:$M$61,8,0)</f>
        <v>0</v>
      </c>
      <c r="J50" s="6">
        <f>+VLOOKUP($B50,MNG!$B$7:$M$61,9,0)</f>
        <v>0</v>
      </c>
      <c r="K50" s="6">
        <f>+VLOOKUP($B50,MNG!$B$7:$M$61,10,0)</f>
        <v>0</v>
      </c>
      <c r="L50" s="6">
        <f>+VLOOKUP($B50,MNG!$B$7:$M$61,11,0)</f>
        <v>0</v>
      </c>
      <c r="M50" s="6">
        <f>+VLOOKUP($B50,MNG!$B$7:$M$61,12,0)</f>
        <v>0</v>
      </c>
    </row>
    <row r="51" spans="1:13" ht="14.25" customHeight="1" x14ac:dyDescent="0.25">
      <c r="A51" s="4">
        <f>A50+1</f>
        <v>30</v>
      </c>
      <c r="B51" s="27" t="s">
        <v>24</v>
      </c>
      <c r="C51" s="28" t="s">
        <v>150</v>
      </c>
      <c r="D51" s="6">
        <f>+VLOOKUP(B51,MNG!$B$7:$M$61,3,0)</f>
        <v>0</v>
      </c>
      <c r="E51" s="6">
        <f>+VLOOKUP($B51,MNG!$B$7:$M$61,4,0)</f>
        <v>0</v>
      </c>
      <c r="F51" s="6">
        <f>+VLOOKUP($B51,MNG!$B$7:$M$61,5,0)</f>
        <v>0</v>
      </c>
      <c r="G51" s="6">
        <f>+VLOOKUP($B51,MNG!$B$7:$M$61,6,0)</f>
        <v>0</v>
      </c>
      <c r="H51" s="6">
        <f>+VLOOKUP($B51,MNG!$B$7:$M$61,7,0)</f>
        <v>0</v>
      </c>
      <c r="I51" s="6">
        <f>+VLOOKUP($B51,MNG!$B$7:$M$61,8,0)</f>
        <v>0</v>
      </c>
      <c r="J51" s="6">
        <f>+VLOOKUP($B51,MNG!$B$7:$M$61,9,0)</f>
        <v>0</v>
      </c>
      <c r="K51" s="6">
        <f>+VLOOKUP($B51,MNG!$B$7:$M$61,10,0)</f>
        <v>0</v>
      </c>
      <c r="L51" s="6">
        <f>+VLOOKUP($B51,MNG!$B$7:$M$61,11,0)</f>
        <v>0</v>
      </c>
      <c r="M51" s="6">
        <f>+VLOOKUP($B51,MNG!$B$7:$M$61,12,0)</f>
        <v>0</v>
      </c>
    </row>
    <row r="52" spans="1:13" s="7" customFormat="1" ht="14.25" customHeight="1" x14ac:dyDescent="0.25">
      <c r="A52" s="4">
        <f>A51+1</f>
        <v>31</v>
      </c>
      <c r="B52" s="27" t="s">
        <v>101</v>
      </c>
      <c r="C52" s="28" t="s">
        <v>101</v>
      </c>
      <c r="D52" s="6">
        <f>+VLOOKUP(B52,MNG!$B$7:$M$61,3,0)</f>
        <v>0</v>
      </c>
      <c r="E52" s="6">
        <f>+VLOOKUP($B52,MNG!$B$7:$M$61,4,0)</f>
        <v>0</v>
      </c>
      <c r="F52" s="6">
        <f>+VLOOKUP($B52,MNG!$B$7:$M$61,5,0)</f>
        <v>0</v>
      </c>
      <c r="G52" s="6">
        <f>+VLOOKUP($B52,MNG!$B$7:$M$61,6,0)</f>
        <v>0</v>
      </c>
      <c r="H52" s="6">
        <f>+VLOOKUP($B52,MNG!$B$7:$M$61,7,0)</f>
        <v>0</v>
      </c>
      <c r="I52" s="6">
        <f>+VLOOKUP($B52,MNG!$B$7:$M$61,8,0)</f>
        <v>0</v>
      </c>
      <c r="J52" s="6">
        <f>+VLOOKUP($B52,MNG!$B$7:$M$61,9,0)</f>
        <v>0</v>
      </c>
      <c r="K52" s="6">
        <f>+VLOOKUP($B52,MNG!$B$7:$M$61,10,0)</f>
        <v>0</v>
      </c>
      <c r="L52" s="6">
        <f>+VLOOKUP($B52,MNG!$B$7:$M$61,11,0)</f>
        <v>0</v>
      </c>
      <c r="M52" s="6">
        <f>+VLOOKUP($B52,MNG!$B$7:$M$61,12,0)</f>
        <v>0</v>
      </c>
    </row>
    <row r="53" spans="1:13" s="7" customFormat="1" ht="14.25" customHeight="1" x14ac:dyDescent="0.25">
      <c r="A53" s="4">
        <f>A52+1</f>
        <v>32</v>
      </c>
      <c r="B53" s="27" t="s">
        <v>65</v>
      </c>
      <c r="C53" s="28" t="s">
        <v>171</v>
      </c>
      <c r="D53" s="6">
        <f>+VLOOKUP(B53,MNG!$B$7:$M$61,3,0)</f>
        <v>0</v>
      </c>
      <c r="E53" s="6">
        <f>+VLOOKUP($B53,MNG!$B$7:$M$61,4,0)</f>
        <v>0</v>
      </c>
      <c r="F53" s="6">
        <f>+VLOOKUP($B53,MNG!$B$7:$M$61,5,0)</f>
        <v>0</v>
      </c>
      <c r="G53" s="6">
        <f>+VLOOKUP($B53,MNG!$B$7:$M$61,6,0)</f>
        <v>0</v>
      </c>
      <c r="H53" s="6">
        <f>+VLOOKUP($B53,MNG!$B$7:$M$61,7,0)</f>
        <v>0</v>
      </c>
      <c r="I53" s="6">
        <f>+VLOOKUP($B53,MNG!$B$7:$M$61,8,0)</f>
        <v>0</v>
      </c>
      <c r="J53" s="6">
        <f>+VLOOKUP($B53,MNG!$B$7:$M$61,9,0)</f>
        <v>0</v>
      </c>
      <c r="K53" s="6">
        <f>+VLOOKUP($B53,MNG!$B$7:$M$61,10,0)</f>
        <v>0</v>
      </c>
      <c r="L53" s="6">
        <f>+VLOOKUP($B53,MNG!$B$7:$M$61,11,0)</f>
        <v>0</v>
      </c>
      <c r="M53" s="6">
        <f>+VLOOKUP($B53,MNG!$B$7:$M$61,12,0)</f>
        <v>0</v>
      </c>
    </row>
    <row r="54" spans="1:13" ht="14.25" customHeight="1" x14ac:dyDescent="0.25">
      <c r="A54" s="4">
        <f>A53+1</f>
        <v>33</v>
      </c>
      <c r="B54" s="27" t="s">
        <v>177</v>
      </c>
      <c r="C54" s="28" t="s">
        <v>182</v>
      </c>
      <c r="D54" s="6">
        <f>+VLOOKUP(B54,MNG!$B$7:$M$61,3,0)</f>
        <v>0</v>
      </c>
      <c r="E54" s="6">
        <f>+VLOOKUP($B54,MNG!$B$7:$M$61,4,0)</f>
        <v>0</v>
      </c>
      <c r="F54" s="6">
        <f>+VLOOKUP($B54,MNG!$B$7:$M$61,5,0)</f>
        <v>0</v>
      </c>
      <c r="G54" s="6">
        <f>+VLOOKUP($B54,MNG!$B$7:$M$61,6,0)</f>
        <v>0</v>
      </c>
      <c r="H54" s="6">
        <f>+VLOOKUP($B54,MNG!$B$7:$M$61,7,0)</f>
        <v>0</v>
      </c>
      <c r="I54" s="6">
        <f>+VLOOKUP($B54,MNG!$B$7:$M$61,8,0)</f>
        <v>0</v>
      </c>
      <c r="J54" s="6">
        <f>+VLOOKUP($B54,MNG!$B$7:$M$61,9,0)</f>
        <v>0</v>
      </c>
      <c r="K54" s="6">
        <f>+VLOOKUP($B54,MNG!$B$7:$M$61,10,0)</f>
        <v>0</v>
      </c>
      <c r="L54" s="6">
        <f>+VLOOKUP($B54,MNG!$B$7:$M$61,11,0)</f>
        <v>0</v>
      </c>
      <c r="M54" s="6">
        <f>+VLOOKUP($B54,MNG!$B$7:$M$61,12,0)</f>
        <v>0</v>
      </c>
    </row>
    <row r="55" spans="1:13" ht="14.25" customHeight="1" x14ac:dyDescent="0.25">
      <c r="A55" s="4">
        <f>A54+1</f>
        <v>34</v>
      </c>
      <c r="B55" s="4" t="s">
        <v>129</v>
      </c>
      <c r="C55" s="5" t="s">
        <v>132</v>
      </c>
      <c r="D55" s="6">
        <f>+VLOOKUP(B55,MNG!$B$7:$M$61,3,0)</f>
        <v>0</v>
      </c>
      <c r="E55" s="6">
        <f>+VLOOKUP($B55,MNG!$B$7:$M$61,4,0)</f>
        <v>0</v>
      </c>
      <c r="F55" s="6">
        <f>+VLOOKUP($B55,MNG!$B$7:$M$61,5,0)</f>
        <v>0</v>
      </c>
      <c r="G55" s="6">
        <f>+VLOOKUP($B55,MNG!$B$7:$M$61,6,0)</f>
        <v>0</v>
      </c>
      <c r="H55" s="6">
        <f>+VLOOKUP($B55,MNG!$B$7:$M$61,7,0)</f>
        <v>0</v>
      </c>
      <c r="I55" s="6">
        <f>+VLOOKUP($B55,MNG!$B$7:$M$61,8,0)</f>
        <v>0</v>
      </c>
      <c r="J55" s="6">
        <f>+VLOOKUP($B55,MNG!$B$7:$M$61,9,0)</f>
        <v>0</v>
      </c>
      <c r="K55" s="6">
        <f>+VLOOKUP($B55,MNG!$B$7:$M$61,10,0)</f>
        <v>0</v>
      </c>
      <c r="L55" s="6">
        <f>+VLOOKUP($B55,MNG!$B$7:$M$61,11,0)</f>
        <v>0</v>
      </c>
      <c r="M55" s="6">
        <f>+VLOOKUP($B55,MNG!$B$7:$M$61,12,0)</f>
        <v>0</v>
      </c>
    </row>
    <row r="56" spans="1:13" ht="14.25" customHeight="1" x14ac:dyDescent="0.25">
      <c r="A56" s="4">
        <f>A55+1</f>
        <v>35</v>
      </c>
      <c r="B56" s="27" t="s">
        <v>34</v>
      </c>
      <c r="C56" s="28" t="s">
        <v>172</v>
      </c>
      <c r="D56" s="6">
        <f>+VLOOKUP(B56,MNG!$B$7:$M$61,3,0)</f>
        <v>0</v>
      </c>
      <c r="E56" s="6">
        <f>+VLOOKUP($B56,MNG!$B$7:$M$61,4,0)</f>
        <v>0</v>
      </c>
      <c r="F56" s="6">
        <f>+VLOOKUP($B56,MNG!$B$7:$M$61,5,0)</f>
        <v>0</v>
      </c>
      <c r="G56" s="6">
        <f>+VLOOKUP($B56,MNG!$B$7:$M$61,6,0)</f>
        <v>0</v>
      </c>
      <c r="H56" s="6">
        <f>+VLOOKUP($B56,MNG!$B$7:$M$61,7,0)</f>
        <v>0</v>
      </c>
      <c r="I56" s="6">
        <f>+VLOOKUP($B56,MNG!$B$7:$M$61,8,0)</f>
        <v>0</v>
      </c>
      <c r="J56" s="6">
        <f>+VLOOKUP($B56,MNG!$B$7:$M$61,9,0)</f>
        <v>0</v>
      </c>
      <c r="K56" s="6">
        <f>+VLOOKUP($B56,MNG!$B$7:$M$61,10,0)</f>
        <v>0</v>
      </c>
      <c r="L56" s="6">
        <f>+VLOOKUP($B56,MNG!$B$7:$M$61,11,0)</f>
        <v>0</v>
      </c>
      <c r="M56" s="6">
        <f>+VLOOKUP($B56,MNG!$B$7:$M$61,12,0)</f>
        <v>0</v>
      </c>
    </row>
    <row r="57" spans="1:13" s="7" customFormat="1" ht="14.25" customHeight="1" x14ac:dyDescent="0.25">
      <c r="A57" s="4">
        <f>A56+1</f>
        <v>36</v>
      </c>
      <c r="B57" s="27" t="s">
        <v>99</v>
      </c>
      <c r="C57" s="28" t="s">
        <v>99</v>
      </c>
      <c r="D57" s="6">
        <f>+VLOOKUP(B57,MNG!$B$7:$M$61,3,0)</f>
        <v>0</v>
      </c>
      <c r="E57" s="6">
        <f>+VLOOKUP($B57,MNG!$B$7:$M$61,4,0)</f>
        <v>0</v>
      </c>
      <c r="F57" s="6">
        <f>+VLOOKUP($B57,MNG!$B$7:$M$61,5,0)</f>
        <v>0</v>
      </c>
      <c r="G57" s="6">
        <f>+VLOOKUP($B57,MNG!$B$7:$M$61,6,0)</f>
        <v>0</v>
      </c>
      <c r="H57" s="6">
        <f>+VLOOKUP($B57,MNG!$B$7:$M$61,7,0)</f>
        <v>0</v>
      </c>
      <c r="I57" s="6">
        <f>+VLOOKUP($B57,MNG!$B$7:$M$61,8,0)</f>
        <v>0</v>
      </c>
      <c r="J57" s="6">
        <f>+VLOOKUP($B57,MNG!$B$7:$M$61,9,0)</f>
        <v>0</v>
      </c>
      <c r="K57" s="6">
        <f>+VLOOKUP($B57,MNG!$B$7:$M$61,10,0)</f>
        <v>0</v>
      </c>
      <c r="L57" s="6">
        <f>+VLOOKUP($B57,MNG!$B$7:$M$61,11,0)</f>
        <v>0</v>
      </c>
      <c r="M57" s="6">
        <f>+VLOOKUP($B57,MNG!$B$7:$M$61,12,0)</f>
        <v>0</v>
      </c>
    </row>
    <row r="58" spans="1:13" ht="14.25" customHeight="1" x14ac:dyDescent="0.25">
      <c r="A58" s="4">
        <f>A57+1</f>
        <v>37</v>
      </c>
      <c r="B58" s="27" t="s">
        <v>26</v>
      </c>
      <c r="C58" s="28" t="s">
        <v>163</v>
      </c>
      <c r="D58" s="6">
        <f>+VLOOKUP(B58,MNG!$B$7:$M$61,3,0)</f>
        <v>0</v>
      </c>
      <c r="E58" s="6">
        <f>+VLOOKUP($B58,MNG!$B$7:$M$61,4,0)</f>
        <v>0</v>
      </c>
      <c r="F58" s="6">
        <f>+VLOOKUP($B58,MNG!$B$7:$M$61,5,0)</f>
        <v>0</v>
      </c>
      <c r="G58" s="6">
        <f>+VLOOKUP($B58,MNG!$B$7:$M$61,6,0)</f>
        <v>0</v>
      </c>
      <c r="H58" s="6">
        <f>+VLOOKUP($B58,MNG!$B$7:$M$61,7,0)</f>
        <v>0</v>
      </c>
      <c r="I58" s="6">
        <f>+VLOOKUP($B58,MNG!$B$7:$M$61,8,0)</f>
        <v>0</v>
      </c>
      <c r="J58" s="6">
        <f>+VLOOKUP($B58,MNG!$B$7:$M$61,9,0)</f>
        <v>0</v>
      </c>
      <c r="K58" s="6">
        <f>+VLOOKUP($B58,MNG!$B$7:$M$61,10,0)</f>
        <v>0</v>
      </c>
      <c r="L58" s="6">
        <f>+VLOOKUP($B58,MNG!$B$7:$M$61,11,0)</f>
        <v>0</v>
      </c>
      <c r="M58" s="6">
        <f>+VLOOKUP($B58,MNG!$B$7:$M$61,12,0)</f>
        <v>0</v>
      </c>
    </row>
    <row r="59" spans="1:13" ht="14.25" customHeight="1" x14ac:dyDescent="0.25">
      <c r="A59" s="4">
        <f>A58+1</f>
        <v>38</v>
      </c>
      <c r="B59" s="27" t="s">
        <v>63</v>
      </c>
      <c r="C59" s="28" t="s">
        <v>169</v>
      </c>
      <c r="D59" s="6">
        <f>+VLOOKUP(B59,MNG!$B$7:$M$61,3,0)</f>
        <v>0</v>
      </c>
      <c r="E59" s="6">
        <f>+VLOOKUP($B59,MNG!$B$7:$M$61,4,0)</f>
        <v>0</v>
      </c>
      <c r="F59" s="6">
        <f>+VLOOKUP($B59,MNG!$B$7:$M$61,5,0)</f>
        <v>0</v>
      </c>
      <c r="G59" s="6">
        <f>+VLOOKUP($B59,MNG!$B$7:$M$61,6,0)</f>
        <v>0</v>
      </c>
      <c r="H59" s="6">
        <f>+VLOOKUP($B59,MNG!$B$7:$M$61,7,0)</f>
        <v>0</v>
      </c>
      <c r="I59" s="6">
        <f>+VLOOKUP($B59,MNG!$B$7:$M$61,8,0)</f>
        <v>0</v>
      </c>
      <c r="J59" s="6">
        <f>+VLOOKUP($B59,MNG!$B$7:$M$61,9,0)</f>
        <v>0</v>
      </c>
      <c r="K59" s="6">
        <f>+VLOOKUP($B59,MNG!$B$7:$M$61,10,0)</f>
        <v>0</v>
      </c>
      <c r="L59" s="6">
        <f>+VLOOKUP($B59,MNG!$B$7:$M$61,11,0)</f>
        <v>0</v>
      </c>
      <c r="M59" s="6">
        <f>+VLOOKUP($B59,MNG!$B$7:$M$61,12,0)</f>
        <v>0</v>
      </c>
    </row>
    <row r="60" spans="1:13" ht="14.25" customHeight="1" x14ac:dyDescent="0.25">
      <c r="A60" s="4">
        <f>A59+1</f>
        <v>39</v>
      </c>
      <c r="B60" s="27" t="s">
        <v>22</v>
      </c>
      <c r="C60" s="28" t="s">
        <v>146</v>
      </c>
      <c r="D60" s="6">
        <f>+VLOOKUP(B60,MNG!$B$7:$M$61,3,0)</f>
        <v>0</v>
      </c>
      <c r="E60" s="6">
        <f>+VLOOKUP($B60,MNG!$B$7:$M$61,4,0)</f>
        <v>0</v>
      </c>
      <c r="F60" s="6">
        <f>+VLOOKUP($B60,MNG!$B$7:$M$61,5,0)</f>
        <v>0</v>
      </c>
      <c r="G60" s="6">
        <f>+VLOOKUP($B60,MNG!$B$7:$M$61,6,0)</f>
        <v>0</v>
      </c>
      <c r="H60" s="6">
        <f>+VLOOKUP($B60,MNG!$B$7:$M$61,7,0)</f>
        <v>0</v>
      </c>
      <c r="I60" s="6">
        <f>+VLOOKUP($B60,MNG!$B$7:$M$61,8,0)</f>
        <v>0</v>
      </c>
      <c r="J60" s="6">
        <f>+VLOOKUP($B60,MNG!$B$7:$M$61,9,0)</f>
        <v>0</v>
      </c>
      <c r="K60" s="6">
        <f>+VLOOKUP($B60,MNG!$B$7:$M$61,10,0)</f>
        <v>0</v>
      </c>
      <c r="L60" s="6">
        <f>+VLOOKUP($B60,MNG!$B$7:$M$61,11,0)</f>
        <v>0</v>
      </c>
      <c r="M60" s="6">
        <f>+VLOOKUP($B60,MNG!$B$7:$M$61,12,0)</f>
        <v>0</v>
      </c>
    </row>
    <row r="61" spans="1:13" ht="14.25" customHeight="1" x14ac:dyDescent="0.25">
      <c r="A61" s="5"/>
      <c r="B61" s="5"/>
      <c r="C61" s="11" t="s">
        <v>105</v>
      </c>
      <c r="D61" s="8">
        <f>SUM(D7:D54)</f>
        <v>60262127383.800003</v>
      </c>
      <c r="E61" s="8">
        <f>SUM(E7:E54)</f>
        <v>57129644401.979996</v>
      </c>
      <c r="F61" s="8">
        <f>SUM(F7:F54)</f>
        <v>4183794377.0899992</v>
      </c>
      <c r="G61" s="8">
        <f>SUM(G7:G54)</f>
        <v>19218536539.549999</v>
      </c>
      <c r="H61" s="8">
        <f>SUM(H7:H54)</f>
        <v>17374879065.93</v>
      </c>
      <c r="I61" s="8">
        <f>SUM(I7:I54)</f>
        <v>44457288935.740005</v>
      </c>
      <c r="J61" s="8">
        <f>SUM(J7:J54)</f>
        <v>4775677870.9299994</v>
      </c>
      <c r="K61" s="8">
        <f>SUM(K7:K54)</f>
        <v>5632577149.5500011</v>
      </c>
      <c r="L61" s="8">
        <f>SUM(L7:L54)</f>
        <v>958714352.91000032</v>
      </c>
      <c r="M61" s="8">
        <f>SUM(M7:M54)</f>
        <v>-3808221616.1799998</v>
      </c>
    </row>
    <row r="63" spans="1:13" ht="14.25" customHeight="1" x14ac:dyDescent="0.25">
      <c r="B63" s="21" t="s">
        <v>117</v>
      </c>
      <c r="C63" s="21" t="s">
        <v>116</v>
      </c>
      <c r="K63" s="1" t="s">
        <v>198</v>
      </c>
    </row>
    <row r="65" spans="3:12" x14ac:dyDescent="0.25">
      <c r="D65" s="12"/>
      <c r="E65" s="12"/>
      <c r="G65" s="12"/>
      <c r="I65" s="12"/>
      <c r="L65" s="12"/>
    </row>
    <row r="66" spans="3:12" x14ac:dyDescent="0.25">
      <c r="D66" s="12"/>
      <c r="E66" s="12"/>
      <c r="F66" s="12"/>
      <c r="G66" s="12"/>
      <c r="H66" s="12"/>
      <c r="I66" s="12"/>
      <c r="J66" s="12"/>
      <c r="K66" s="12"/>
    </row>
    <row r="67" spans="3:12" x14ac:dyDescent="0.25">
      <c r="D67" s="12"/>
      <c r="E67" s="12"/>
      <c r="F67" s="12"/>
      <c r="G67" s="12"/>
      <c r="H67" s="12"/>
      <c r="I67" s="12"/>
      <c r="J67" s="12"/>
      <c r="K67" s="12"/>
    </row>
    <row r="69" spans="3:12" x14ac:dyDescent="0.25">
      <c r="L69" s="12"/>
    </row>
    <row r="70" spans="3:12" x14ac:dyDescent="0.25">
      <c r="L70" s="12"/>
    </row>
    <row r="71" spans="3:12" x14ac:dyDescent="0.2">
      <c r="C71" s="17"/>
      <c r="E71" s="9"/>
      <c r="F71" s="9"/>
      <c r="G71" s="9"/>
      <c r="H71" s="9"/>
      <c r="J71" s="15"/>
      <c r="K71" s="15"/>
    </row>
    <row r="72" spans="3:12" x14ac:dyDescent="0.25">
      <c r="C72" s="9"/>
      <c r="E72" s="9"/>
      <c r="F72" s="9"/>
      <c r="G72" s="9"/>
      <c r="H72" s="13"/>
      <c r="J72" s="16"/>
      <c r="K72" s="14"/>
    </row>
    <row r="73" spans="3:12" x14ac:dyDescent="0.25">
      <c r="C73" s="9"/>
      <c r="E73" s="9"/>
      <c r="F73" s="9"/>
      <c r="G73" s="9"/>
      <c r="H73" s="13"/>
      <c r="J73" s="16"/>
      <c r="K73" s="15"/>
    </row>
    <row r="74" spans="3:12" x14ac:dyDescent="0.25">
      <c r="J74" s="15"/>
      <c r="K74" s="15"/>
    </row>
  </sheetData>
  <sortState ref="B7:M60">
    <sortCondition descending="1" ref="M7:M60"/>
  </sortState>
  <mergeCells count="9">
    <mergeCell ref="E1:I2"/>
    <mergeCell ref="D5:I5"/>
    <mergeCell ref="A4:C4"/>
    <mergeCell ref="A5:A6"/>
    <mergeCell ref="B5:B6"/>
    <mergeCell ref="C5:C6"/>
    <mergeCell ref="L5:M5"/>
    <mergeCell ref="J5:K5"/>
    <mergeCell ref="L4:M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MNG</vt:lpstr>
      <vt:lpstr>ENG</vt:lpstr>
      <vt:lpstr>MNG!Print_Area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Ulziibat</dc:creator>
  <cp:lastModifiedBy>Өлзийбат .Д</cp:lastModifiedBy>
  <cp:lastPrinted>2019-10-23T08:53:38Z</cp:lastPrinted>
  <dcterms:created xsi:type="dcterms:W3CDTF">2017-04-06T23:52:35Z</dcterms:created>
  <dcterms:modified xsi:type="dcterms:W3CDTF">2020-09-03T03:07:56Z</dcterms:modified>
</cp:coreProperties>
</file>